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mc:AlternateContent xmlns:mc="http://schemas.openxmlformats.org/markup-compatibility/2006">
    <mc:Choice Requires="x15">
      <x15ac:absPath xmlns:x15ac="http://schemas.microsoft.com/office/spreadsheetml/2010/11/ac" url="C:\Users\USUARIO\OneDrive - Fuerza Aerea\2.SEMEP\RIESGOS\RIESGOS 2024\FINALES\"/>
    </mc:Choice>
  </mc:AlternateContent>
  <xr:revisionPtr revIDLastSave="997" documentId="8_{BB902B12-D1C8-44FD-9D9C-6338CEA32F23}" xr6:coauthVersionLast="36" xr6:coauthVersionMax="47" xr10:uidLastSave="{DD3FCD28-C895-4C25-9DBF-53281CBEAF0D}"/>
  <bookViews>
    <workbookView xWindow="32290" yWindow="-110" windowWidth="29020" windowHeight="15700" xr2:uid="{00000000-000D-0000-FFFF-FFFF00000000}"/>
  </bookViews>
  <sheets>
    <sheet name="Resumen" sheetId="7" r:id="rId1"/>
    <sheet name="Direccionamiento Estratégico" sheetId="1" r:id="rId2"/>
    <sheet name="Gestión de Apoyo" sheetId="3" r:id="rId3"/>
    <sheet name="Gestión Humana" sheetId="4" r:id="rId4"/>
    <sheet name="Operaciones Aéreas" sheetId="5" r:id="rId5"/>
    <sheet name="Inspección, Control y Gestión S" sheetId="6" r:id="rId6"/>
    <sheet name="Campos" sheetId="2" state="hidden"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xlnm._FilterDatabase" localSheetId="1" hidden="1">'Direccionamiento Estratégico'!$A$5:$BB$36</definedName>
    <definedName name="_xlnm._FilterDatabase" localSheetId="2" hidden="1">'Gestión de Apoyo'!$A$5:$BB$40</definedName>
    <definedName name="_xlnm.Print_Area" localSheetId="1">'Direccionamiento Estratégico'!$A$1:$BK$59</definedName>
    <definedName name="_xlnm.Print_Area" localSheetId="3">'Gestión Humana'!$A$1:$BB$45</definedName>
    <definedName name="_xlnm.Print_Area" localSheetId="4">'Operaciones Aéreas'!$A$1:$BC$19</definedName>
    <definedName name="Procesos">[1]Hoja1!$B$2:$B$17</definedName>
    <definedName name="Selección1" localSheetId="1">'Direccionamiento Estratégico'!$T$12</definedName>
    <definedName name="Selección1" localSheetId="2">'Gestión de Apoyo'!$T$12</definedName>
    <definedName name="Selección1" localSheetId="3">'Gestión Humana'!$T$12</definedName>
    <definedName name="Selección1" localSheetId="5">'Inspección, Control y Gestión S'!$T$12</definedName>
    <definedName name="Selección1" localSheetId="4">'Operaciones Aéreas'!$T$12</definedName>
    <definedName name="Selección1">#REF!</definedName>
    <definedName name="SelecciónA" localSheetId="1">'Direccionamiento Estratégico'!#REF!</definedName>
    <definedName name="SelecciónA" localSheetId="2">'Gestión de Apoyo'!#REF!</definedName>
    <definedName name="SelecciónA" localSheetId="3">'Gestión Humana'!#REF!</definedName>
    <definedName name="SelecciónA" localSheetId="5">'Inspección, Control y Gestión S'!#REF!</definedName>
    <definedName name="SelecciónA" localSheetId="4">'Operaciones Aéreas'!#REF!</definedName>
    <definedName name="SelecciónA">#REF!</definedName>
    <definedName name="TipoRiesgo" localSheetId="1">'Direccionamiento Estratégico'!#REF!</definedName>
    <definedName name="TipoRiesgo" localSheetId="2">'Gestión de Apoyo'!#REF!</definedName>
    <definedName name="TipoRiesgo" localSheetId="3">'Gestión Humana'!#REF!</definedName>
    <definedName name="TipoRiesgo" localSheetId="5">'Inspección, Control y Gestión S'!#REF!</definedName>
    <definedName name="TipoRiesgo" localSheetId="4">'Operaciones Aéreas'!#REF!</definedName>
    <definedName name="TipoRiesgo">#REF!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O19" i="6" l="1"/>
  <c r="AM19" i="6"/>
  <c r="AK19" i="6"/>
  <c r="AB19" i="6"/>
  <c r="AC19" i="6" s="1"/>
  <c r="AD19" i="6" s="1"/>
  <c r="U19" i="6"/>
  <c r="S19" i="6"/>
  <c r="AK18" i="6"/>
  <c r="AO17" i="6"/>
  <c r="AK17" i="6"/>
  <c r="AB17" i="6"/>
  <c r="AC17" i="6" s="1"/>
  <c r="AD17" i="6" s="1"/>
  <c r="U17" i="6"/>
  <c r="S17" i="6"/>
  <c r="AQ16" i="6"/>
  <c r="AO16" i="6"/>
  <c r="AK16" i="6"/>
  <c r="AB16" i="6"/>
  <c r="AC16" i="6" s="1"/>
  <c r="AD16" i="6" s="1"/>
  <c r="U16" i="6"/>
  <c r="S16" i="6"/>
  <c r="AK15" i="6"/>
  <c r="AN14" i="6"/>
  <c r="AO14" i="6" s="1"/>
  <c r="AL14" i="6"/>
  <c r="AM14" i="6" s="1"/>
  <c r="AK14" i="6"/>
  <c r="AB14" i="6"/>
  <c r="AC14" i="6" s="1"/>
  <c r="AD14" i="6" s="1"/>
  <c r="AN13" i="6"/>
  <c r="AO13" i="6" s="1"/>
  <c r="AL13" i="6"/>
  <c r="AM13" i="6" s="1"/>
  <c r="AK13" i="6"/>
  <c r="AB13" i="6"/>
  <c r="AC13" i="6" s="1"/>
  <c r="AD13" i="6" s="1"/>
  <c r="AQ12" i="6"/>
  <c r="AK12" i="6"/>
  <c r="AN12" i="6" s="1"/>
  <c r="AO12" i="6" s="1"/>
  <c r="AB12" i="6"/>
  <c r="AC12" i="6" s="1"/>
  <c r="U12" i="6"/>
  <c r="S12" i="6"/>
  <c r="V12" i="6" l="1"/>
  <c r="W12" i="6" s="1"/>
  <c r="V16" i="6"/>
  <c r="W16" i="6" s="1"/>
  <c r="V17" i="6"/>
  <c r="W17" i="6" s="1"/>
  <c r="V19" i="6"/>
  <c r="W19" i="6" s="1"/>
  <c r="AL12" i="6"/>
  <c r="AM12" i="6" s="1"/>
  <c r="AD12" i="6"/>
  <c r="AK17" i="5" l="1"/>
  <c r="AK16" i="5"/>
  <c r="AN16" i="5" s="1"/>
  <c r="AO16" i="5" s="1"/>
  <c r="AB16" i="5"/>
  <c r="Z16" i="5"/>
  <c r="U16" i="5"/>
  <c r="S16" i="5"/>
  <c r="AK15" i="5"/>
  <c r="AB15" i="5"/>
  <c r="Z15" i="5"/>
  <c r="AQ14" i="5"/>
  <c r="AN14" i="5"/>
  <c r="AN15" i="5" s="1"/>
  <c r="AO15" i="5" s="1"/>
  <c r="AK14" i="5"/>
  <c r="AB14" i="5"/>
  <c r="Z14" i="5"/>
  <c r="U14" i="5"/>
  <c r="S14" i="5"/>
  <c r="AQ13" i="5"/>
  <c r="AN13" i="5"/>
  <c r="AO13" i="5" s="1"/>
  <c r="AK13" i="5"/>
  <c r="AB13" i="5"/>
  <c r="Z13" i="5"/>
  <c r="AC13" i="5" s="1"/>
  <c r="AL13" i="5" s="1"/>
  <c r="AM13" i="5" s="1"/>
  <c r="U13" i="5"/>
  <c r="S13" i="5"/>
  <c r="AK12" i="5"/>
  <c r="AN12" i="5" s="1"/>
  <c r="AO12" i="5" s="1"/>
  <c r="AB12" i="5"/>
  <c r="Z12" i="5"/>
  <c r="U12" i="5"/>
  <c r="S12" i="5"/>
  <c r="AC12" i="5" l="1"/>
  <c r="AL12" i="5" s="1"/>
  <c r="AM12" i="5" s="1"/>
  <c r="AC15" i="5"/>
  <c r="AL15" i="5" s="1"/>
  <c r="AM15" i="5" s="1"/>
  <c r="AC14" i="5"/>
  <c r="AC16" i="5"/>
  <c r="AD16" i="5" s="1"/>
  <c r="V14" i="5"/>
  <c r="V12" i="5"/>
  <c r="V13" i="5"/>
  <c r="V16" i="5"/>
  <c r="AL16" i="5"/>
  <c r="AM16" i="5" s="1"/>
  <c r="AD15" i="5"/>
  <c r="AL14" i="5"/>
  <c r="AM14" i="5" s="1"/>
  <c r="AD14" i="5"/>
  <c r="AD12" i="5"/>
  <c r="AD13" i="5"/>
  <c r="AO14" i="5"/>
  <c r="S12" i="4" l="1"/>
  <c r="U12" i="4"/>
  <c r="AB12" i="4"/>
  <c r="AC12" i="4" s="1"/>
  <c r="AL12" i="4" s="1"/>
  <c r="AM12" i="4" s="1"/>
  <c r="AN12" i="4"/>
  <c r="AO12" i="4"/>
  <c r="AQ12" i="4"/>
  <c r="S13" i="4"/>
  <c r="U13" i="4"/>
  <c r="AB13" i="4"/>
  <c r="AC13" i="4" s="1"/>
  <c r="AK13" i="4"/>
  <c r="S14" i="4"/>
  <c r="U14" i="4"/>
  <c r="AB14" i="4"/>
  <c r="AC14" i="4" s="1"/>
  <c r="AK14" i="4"/>
  <c r="S15" i="4"/>
  <c r="U15" i="4"/>
  <c r="AB15" i="4"/>
  <c r="AC15" i="4" s="1"/>
  <c r="AK15" i="4"/>
  <c r="S16" i="4"/>
  <c r="U16" i="4"/>
  <c r="AB16" i="4"/>
  <c r="AC16" i="4" s="1"/>
  <c r="AK16" i="4"/>
  <c r="S17" i="4"/>
  <c r="U17" i="4"/>
  <c r="AB17" i="4"/>
  <c r="AC17" i="4" s="1"/>
  <c r="AK17" i="4"/>
  <c r="S18" i="4"/>
  <c r="U18" i="4"/>
  <c r="AB18" i="4"/>
  <c r="AC18" i="4" s="1"/>
  <c r="AK18" i="4"/>
  <c r="S20" i="4"/>
  <c r="U20" i="4"/>
  <c r="AB20" i="4"/>
  <c r="AC20" i="4" s="1"/>
  <c r="AK20" i="4"/>
  <c r="S21" i="4"/>
  <c r="U21" i="4"/>
  <c r="AB21" i="4"/>
  <c r="AC21" i="4" s="1"/>
  <c r="AK21" i="4"/>
  <c r="AM21" i="4"/>
  <c r="AO21" i="4"/>
  <c r="AB22" i="4"/>
  <c r="AC22" i="4" s="1"/>
  <c r="AK22" i="4"/>
  <c r="AL22" i="4"/>
  <c r="AM22" i="4" s="1"/>
  <c r="AN22" i="4"/>
  <c r="AO22" i="4" s="1"/>
  <c r="AB23" i="4"/>
  <c r="AC23" i="4" s="1"/>
  <c r="AK23" i="4"/>
  <c r="AL23" i="4"/>
  <c r="AM23" i="4" s="1"/>
  <c r="AN23" i="4"/>
  <c r="AO23" i="4" s="1"/>
  <c r="AB24" i="4"/>
  <c r="AC24" i="4" s="1"/>
  <c r="AK24" i="4"/>
  <c r="AL24" i="4"/>
  <c r="AM24" i="4" s="1"/>
  <c r="AN24" i="4"/>
  <c r="AO24" i="4"/>
  <c r="AB25" i="4"/>
  <c r="AC25" i="4" s="1"/>
  <c r="AK25" i="4"/>
  <c r="AL25" i="4"/>
  <c r="AM25" i="4" s="1"/>
  <c r="AN25" i="4"/>
  <c r="AO25" i="4" s="1"/>
  <c r="AB26" i="4"/>
  <c r="AC26" i="4" s="1"/>
  <c r="AK26" i="4"/>
  <c r="AL26" i="4"/>
  <c r="AM26" i="4" s="1"/>
  <c r="AN26" i="4"/>
  <c r="AO26" i="4" s="1"/>
  <c r="AB27" i="4"/>
  <c r="AC27" i="4" s="1"/>
  <c r="AK27" i="4"/>
  <c r="AL27" i="4"/>
  <c r="AM27" i="4" s="1"/>
  <c r="AN27" i="4"/>
  <c r="AO27" i="4" s="1"/>
  <c r="S28" i="4"/>
  <c r="U28" i="4"/>
  <c r="AB28" i="4"/>
  <c r="AC28" i="4" s="1"/>
  <c r="AK28" i="4"/>
  <c r="AM28" i="4"/>
  <c r="AO28" i="4"/>
  <c r="AB29" i="4"/>
  <c r="AC29" i="4" s="1"/>
  <c r="AB30" i="4"/>
  <c r="AC30" i="4" s="1"/>
  <c r="S32" i="4"/>
  <c r="U32" i="4"/>
  <c r="AB32" i="4"/>
  <c r="AC32" i="4"/>
  <c r="AK32" i="4"/>
  <c r="AN32" i="4" s="1"/>
  <c r="AO32" i="4" s="1"/>
  <c r="AM32" i="4"/>
  <c r="S33" i="4"/>
  <c r="U33" i="4"/>
  <c r="V33" i="4" s="1"/>
  <c r="W33" i="4" s="1"/>
  <c r="AB33" i="4"/>
  <c r="AC33" i="4" s="1"/>
  <c r="AK33" i="4"/>
  <c r="AM33" i="4"/>
  <c r="AN33" i="4"/>
  <c r="AO33" i="4"/>
  <c r="S34" i="4"/>
  <c r="U34" i="4"/>
  <c r="AB34" i="4"/>
  <c r="AC34" i="4"/>
  <c r="AK34" i="4"/>
  <c r="AM34" i="4"/>
  <c r="AN34" i="4"/>
  <c r="AO34" i="4"/>
  <c r="S35" i="4"/>
  <c r="U35" i="4"/>
  <c r="AB35" i="4"/>
  <c r="AC35" i="4"/>
  <c r="AK35" i="4"/>
  <c r="AN35" i="4" s="1"/>
  <c r="AO35" i="4" s="1"/>
  <c r="AM35" i="4"/>
  <c r="S36" i="4"/>
  <c r="U36" i="4"/>
  <c r="V36" i="4" s="1"/>
  <c r="W36" i="4" s="1"/>
  <c r="AB36" i="4"/>
  <c r="AC36" i="4" s="1"/>
  <c r="AK36" i="4"/>
  <c r="AM36" i="4"/>
  <c r="AN36" i="4"/>
  <c r="AO36" i="4"/>
  <c r="V18" i="4" l="1"/>
  <c r="W18" i="4" s="1"/>
  <c r="V15" i="4"/>
  <c r="W15" i="4" s="1"/>
  <c r="V28" i="4"/>
  <c r="W28" i="4" s="1"/>
  <c r="V17" i="4"/>
  <c r="W17" i="4" s="1"/>
  <c r="V13" i="4"/>
  <c r="W13" i="4" s="1"/>
  <c r="V20" i="4"/>
  <c r="W20" i="4" s="1"/>
  <c r="V35" i="4"/>
  <c r="W35" i="4" s="1"/>
  <c r="V32" i="4"/>
  <c r="W32" i="4" s="1"/>
  <c r="V14" i="4"/>
  <c r="W14" i="4" s="1"/>
  <c r="V21" i="4"/>
  <c r="W21" i="4" s="1"/>
  <c r="V16" i="4"/>
  <c r="W16" i="4" s="1"/>
  <c r="V34" i="4"/>
  <c r="W34" i="4" s="1"/>
  <c r="V12" i="4"/>
  <c r="W12" i="4" s="1"/>
  <c r="V12" i="3" l="1"/>
  <c r="AB12" i="3"/>
  <c r="AK12" i="3"/>
  <c r="AN12" i="3" s="1"/>
  <c r="AO12" i="3" s="1"/>
  <c r="AM12" i="3"/>
  <c r="AQ12" i="3"/>
  <c r="V13" i="3"/>
  <c r="AB13" i="3"/>
  <c r="AK13" i="3"/>
  <c r="AM13" i="3"/>
  <c r="AQ13" i="3"/>
  <c r="V14" i="3"/>
  <c r="AB14" i="3"/>
  <c r="AK14" i="3"/>
  <c r="AM14" i="3"/>
  <c r="AQ14" i="3"/>
  <c r="V15" i="3"/>
  <c r="AB15" i="3"/>
  <c r="AK15" i="3"/>
  <c r="AM15" i="3"/>
  <c r="AQ15" i="3"/>
  <c r="V16" i="3"/>
  <c r="AB16" i="3"/>
  <c r="AK16" i="3"/>
  <c r="AM16" i="3"/>
  <c r="AO16" i="3"/>
  <c r="V17" i="3"/>
  <c r="AB17" i="3"/>
  <c r="AK17" i="3"/>
  <c r="AM17" i="3"/>
  <c r="AO17" i="3"/>
  <c r="V18" i="3"/>
  <c r="AK18" i="3"/>
  <c r="AM18" i="3"/>
  <c r="AN18" i="3"/>
  <c r="AO18" i="3" s="1"/>
  <c r="AK19" i="3"/>
  <c r="V20" i="3"/>
  <c r="AK20" i="3"/>
  <c r="AM20" i="3"/>
  <c r="AN20" i="3"/>
  <c r="AO20" i="3" s="1"/>
  <c r="V21" i="3"/>
  <c r="AK21" i="3"/>
  <c r="AM21" i="3"/>
  <c r="AN21" i="3"/>
  <c r="AO21" i="3" s="1"/>
  <c r="V22" i="3"/>
  <c r="AK22" i="3"/>
  <c r="AM22" i="3"/>
  <c r="AO22" i="3"/>
  <c r="V23" i="3"/>
  <c r="AK23" i="3"/>
  <c r="AM23" i="3"/>
  <c r="AN23" i="3"/>
  <c r="AO23" i="3" s="1"/>
  <c r="V24" i="3"/>
  <c r="AK24" i="3"/>
  <c r="AM24" i="3"/>
  <c r="AN24" i="3"/>
  <c r="AO24" i="3" s="1"/>
  <c r="V25" i="3"/>
  <c r="AK25" i="3"/>
  <c r="AM25" i="3"/>
  <c r="AN25" i="3"/>
  <c r="AO25" i="3" s="1"/>
  <c r="V26" i="3"/>
  <c r="AK26" i="3"/>
  <c r="AM26" i="3"/>
  <c r="AN26" i="3"/>
  <c r="AO26" i="3" s="1"/>
  <c r="V27" i="3"/>
  <c r="AK27" i="3"/>
  <c r="AM27" i="3"/>
  <c r="AN27" i="3"/>
  <c r="AO27" i="3" s="1"/>
  <c r="V28" i="3"/>
  <c r="AK28" i="3"/>
  <c r="AM28" i="3"/>
  <c r="AN28" i="3"/>
  <c r="AO28" i="3" s="1"/>
  <c r="V29" i="3"/>
  <c r="AK29" i="3"/>
  <c r="AM29" i="3"/>
  <c r="AN29" i="3"/>
  <c r="AO29" i="3" s="1"/>
  <c r="V30" i="3"/>
  <c r="AB30" i="3"/>
  <c r="AK30" i="3"/>
  <c r="AM30" i="3"/>
  <c r="AN30" i="3"/>
  <c r="AO30" i="3" s="1"/>
  <c r="AK31" i="3"/>
  <c r="AK32" i="3"/>
  <c r="V33" i="3"/>
  <c r="AB33" i="3"/>
  <c r="AK33" i="3"/>
  <c r="AM33" i="3"/>
  <c r="AN33" i="3"/>
  <c r="AO33" i="3"/>
  <c r="V34" i="3"/>
  <c r="AB34" i="3"/>
  <c r="AK34" i="3"/>
  <c r="AM34" i="3"/>
  <c r="AN34" i="3"/>
  <c r="AO34" i="3"/>
  <c r="V35" i="3"/>
  <c r="AK35" i="3"/>
  <c r="AM35" i="3"/>
  <c r="AN35" i="3"/>
  <c r="AO35" i="3" s="1"/>
  <c r="V36" i="3"/>
  <c r="AB36" i="3"/>
  <c r="AK36" i="3"/>
  <c r="AM36" i="3"/>
  <c r="AN36" i="3"/>
  <c r="AO36" i="3" s="1"/>
  <c r="V37" i="3"/>
  <c r="AB37" i="3"/>
  <c r="AK37" i="3"/>
  <c r="AM37" i="3"/>
  <c r="AN37" i="3"/>
  <c r="AO37" i="3" s="1"/>
  <c r="V38" i="3"/>
  <c r="AB38" i="3"/>
  <c r="AK38" i="3"/>
  <c r="AM38" i="3"/>
  <c r="AN38" i="3"/>
  <c r="AO38" i="3" s="1"/>
  <c r="V39" i="3"/>
  <c r="AB39" i="3"/>
  <c r="AK39" i="3"/>
  <c r="AM39" i="3"/>
  <c r="AN39" i="3"/>
  <c r="AO39" i="3" s="1"/>
  <c r="V40" i="3"/>
  <c r="AK40" i="3"/>
  <c r="AM40" i="3"/>
  <c r="AN40" i="3"/>
  <c r="AO40" i="3"/>
  <c r="AN13" i="3" l="1"/>
  <c r="AO13" i="3" s="1"/>
  <c r="AN14" i="3" l="1"/>
  <c r="AO14" i="3" s="1"/>
  <c r="AN15" i="3" l="1"/>
  <c r="AO15" i="3" s="1"/>
  <c r="AK36" i="1" l="1"/>
  <c r="AK33" i="1"/>
  <c r="AN33" i="1" s="1"/>
  <c r="AO33" i="1" s="1"/>
  <c r="AD33" i="1"/>
  <c r="AB33" i="1"/>
  <c r="Z33" i="1"/>
  <c r="U33" i="1"/>
  <c r="S33" i="1"/>
  <c r="AC33" i="1" l="1"/>
  <c r="AL33" i="1" s="1"/>
  <c r="AM33" i="1" s="1"/>
  <c r="V33" i="1"/>
  <c r="W33" i="1" s="1"/>
  <c r="AN19" i="1"/>
  <c r="AO19" i="1" s="1"/>
  <c r="AD21" i="1"/>
  <c r="AB21" i="1"/>
  <c r="AC21" i="1" s="1"/>
  <c r="AN20" i="1"/>
  <c r="AO20" i="1" s="1"/>
  <c r="AM20" i="1"/>
  <c r="AK20" i="1"/>
  <c r="AD20" i="1"/>
  <c r="AB20" i="1"/>
  <c r="AC20" i="1" s="1"/>
  <c r="U20" i="1"/>
  <c r="S20" i="1"/>
  <c r="AK19" i="1"/>
  <c r="AD19" i="1"/>
  <c r="AB19" i="1"/>
  <c r="AC19" i="1" s="1"/>
  <c r="AK18" i="1"/>
  <c r="AN18" i="1" s="1"/>
  <c r="AO18" i="1" s="1"/>
  <c r="AD18" i="1"/>
  <c r="AB18" i="1"/>
  <c r="AC18" i="1" s="1"/>
  <c r="AL18" i="1" s="1"/>
  <c r="AM18" i="1" s="1"/>
  <c r="U18" i="1"/>
  <c r="S18" i="1"/>
  <c r="AK17" i="1"/>
  <c r="AB17" i="1"/>
  <c r="AC17" i="1" s="1"/>
  <c r="AL17" i="1" s="1"/>
  <c r="AM17" i="1" s="1"/>
  <c r="U17" i="1"/>
  <c r="S17" i="1"/>
  <c r="AK16" i="1"/>
  <c r="AB16" i="1"/>
  <c r="AC16" i="1" s="1"/>
  <c r="AK15" i="1"/>
  <c r="AN15" i="1" s="1"/>
  <c r="AO15" i="1" s="1"/>
  <c r="AB15" i="1"/>
  <c r="AC15" i="1" s="1"/>
  <c r="AL15" i="1" s="1"/>
  <c r="AM15" i="1" s="1"/>
  <c r="U15" i="1"/>
  <c r="S15" i="1"/>
  <c r="V20" i="1" l="1"/>
  <c r="W20" i="1" s="1"/>
  <c r="V18" i="1"/>
  <c r="W18" i="1" s="1"/>
  <c r="V17" i="1"/>
  <c r="W17" i="1" s="1"/>
  <c r="V15" i="1"/>
  <c r="W15" i="1" s="1"/>
  <c r="Z13" i="1"/>
  <c r="Z14" i="1"/>
  <c r="Z12" i="1"/>
  <c r="AB12" i="1"/>
  <c r="AQ12" i="1"/>
  <c r="AK13" i="1"/>
  <c r="AK14" i="1"/>
  <c r="AK12" i="1"/>
  <c r="AN12" i="1" s="1"/>
  <c r="L111" i="2" s="1"/>
  <c r="AQ14" i="1"/>
  <c r="AB14" i="1"/>
  <c r="AQ13" i="1"/>
  <c r="AB13" i="1"/>
  <c r="AC12" i="1" l="1"/>
  <c r="AL12" i="1" s="1"/>
  <c r="AO12" i="1"/>
  <c r="AC13" i="1"/>
  <c r="AD13" i="1" s="1"/>
  <c r="L112" i="2" s="1"/>
  <c r="AN13" i="1" s="1"/>
  <c r="AO13" i="1" s="1"/>
  <c r="AC14" i="1"/>
  <c r="AD14" i="1" s="1"/>
  <c r="L113" i="2" l="1"/>
  <c r="AN14" i="1" s="1"/>
  <c r="AO14" i="1" s="1"/>
  <c r="U12" i="1" l="1"/>
  <c r="S12" i="1"/>
  <c r="M37" i="2"/>
  <c r="M36" i="2"/>
  <c r="M35" i="2"/>
  <c r="M34" i="2"/>
  <c r="M33" i="2"/>
  <c r="M32" i="2"/>
  <c r="M31" i="2"/>
  <c r="M30" i="2"/>
  <c r="M29" i="2"/>
  <c r="M28" i="2"/>
  <c r="M27" i="2"/>
  <c r="M26" i="2"/>
  <c r="M25" i="2"/>
  <c r="M24" i="2"/>
  <c r="M23" i="2"/>
  <c r="M22" i="2"/>
  <c r="M21" i="2"/>
  <c r="M20" i="2"/>
  <c r="M19" i="2"/>
  <c r="M18" i="2"/>
  <c r="M17" i="2"/>
  <c r="M16" i="2"/>
  <c r="M15" i="2"/>
  <c r="M14" i="2"/>
  <c r="M13" i="2"/>
  <c r="AM12" i="1" l="1"/>
  <c r="AD12" i="1"/>
  <c r="V12" i="1"/>
  <c r="W12" i="1" s="1"/>
  <c r="K111" i="2" l="1"/>
  <c r="K112" i="2" l="1"/>
  <c r="AL13" i="1" s="1"/>
  <c r="AM13" i="1" s="1"/>
  <c r="K113" i="2" l="1"/>
  <c r="AL14" i="1" s="1"/>
  <c r="AM14" i="1" s="1"/>
  <c r="AD17" i="1" l="1"/>
  <c r="AD16" i="1"/>
  <c r="AD1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RECOMENDACIÓN:</author>
  </authors>
  <commentList>
    <comment ref="X33" authorId="0" shapeId="0" xr:uid="{5DCD7B47-E952-48E6-92D7-126B8DD1C538}">
      <text>
        <r>
          <rPr>
            <b/>
            <sz val="9"/>
            <color indexed="81"/>
            <rFont val="Tahoma"/>
            <family val="2"/>
          </rPr>
          <t>RECOMENDACIÓN::</t>
        </r>
        <r>
          <rPr>
            <sz val="9"/>
            <color indexed="81"/>
            <rFont val="Tahoma"/>
            <family val="2"/>
          </rPr>
          <t xml:space="preserve">
Ajustar información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Oscar Eduardo Bustos Dorado</author>
    <author>Edward Suárez Gómez</author>
  </authors>
  <commentList>
    <comment ref="B9" authorId="0" shapeId="0" xr:uid="{913D3F32-002F-4452-9668-E0FC0C4C9936}">
      <text>
        <r>
          <rPr>
            <b/>
            <sz val="9"/>
            <color indexed="81"/>
            <rFont val="Tahoma"/>
            <family val="2"/>
          </rPr>
          <t xml:space="preserve">
CELDA DESPLEGABLE</t>
        </r>
      </text>
    </comment>
    <comment ref="C9" authorId="1" shapeId="0" xr:uid="{8913F969-427E-4D38-AE1E-C2B12CF33283}">
      <text>
        <r>
          <rPr>
            <sz val="9"/>
            <color indexed="81"/>
            <rFont val="Tahoma"/>
            <family val="2"/>
          </rPr>
          <t xml:space="preserve">
Si es más dependencia inserte un comentario en la celda correspondiente</t>
        </r>
      </text>
    </comment>
    <comment ref="D9" authorId="0" shapeId="0" xr:uid="{3F7435F8-C44E-4864-9BAE-5BF465B9AAB8}">
      <text>
        <r>
          <rPr>
            <b/>
            <sz val="9"/>
            <color indexed="81"/>
            <rFont val="Tahoma"/>
            <family val="2"/>
          </rPr>
          <t xml:space="preserve">
CELDA DESPLEGABLE</t>
        </r>
      </text>
    </comment>
    <comment ref="E9" authorId="0" shapeId="0" xr:uid="{06B67332-5980-447F-9AB6-632BFE7EF4E6}">
      <text>
        <r>
          <rPr>
            <sz val="9"/>
            <color indexed="81"/>
            <rFont val="Tahoma"/>
            <family val="2"/>
          </rPr>
          <t xml:space="preserve">
Si es más de un Objetivo, inserte un comentario en la celda correspondiente</t>
        </r>
      </text>
    </comment>
    <comment ref="I9" authorId="0" shapeId="0" xr:uid="{496464A0-DE58-4925-BC78-FEF3AE9C705E}">
      <text>
        <r>
          <rPr>
            <b/>
            <sz val="9"/>
            <color indexed="81"/>
            <rFont val="Tahoma"/>
            <family val="2"/>
          </rPr>
          <t xml:space="preserve">
CELDA DESPLEGABLE</t>
        </r>
      </text>
    </comment>
    <comment ref="P9" authorId="0" shapeId="0" xr:uid="{926031E9-4EDF-4AEE-B62F-B907391113A5}">
      <text>
        <r>
          <rPr>
            <b/>
            <sz val="9"/>
            <color indexed="81"/>
            <rFont val="Tahoma"/>
            <family val="2"/>
          </rPr>
          <t xml:space="preserve">
CELDA DESPLEGABLE</t>
        </r>
      </text>
    </comment>
    <comment ref="Q9" authorId="0" shapeId="0" xr:uid="{A79492DB-1324-457F-963D-CB7A80E11B2D}">
      <text>
        <r>
          <rPr>
            <sz val="9"/>
            <color indexed="81"/>
            <rFont val="Tahoma"/>
            <family val="2"/>
          </rPr>
          <t xml:space="preserve">
Ver Descripción Tabla 1 Factores de riesgo - </t>
        </r>
        <r>
          <rPr>
            <b/>
            <u/>
            <sz val="9"/>
            <color indexed="81"/>
            <rFont val="Tahoma"/>
            <family val="2"/>
          </rPr>
          <t>Guía para la Administración del Riesgo y el diseño de controles en entidades públicas Versión 6</t>
        </r>
      </text>
    </comment>
    <comment ref="AN9" authorId="0" shapeId="0" xr:uid="{2F767C7D-2F08-4B89-A441-7C799C6CD816}">
      <text>
        <r>
          <rPr>
            <b/>
            <sz val="9"/>
            <color indexed="81"/>
            <rFont val="Tahoma"/>
            <family val="2"/>
          </rPr>
          <t xml:space="preserve">Nota: 
</t>
        </r>
        <r>
          <rPr>
            <sz val="9"/>
            <color indexed="81"/>
            <rFont val="Tahoma"/>
            <family val="2"/>
          </rPr>
          <t>En caso de no contar con controles correctivos, el impacto residual es el mismo calculado inicialmente, es importante señalar que no será posible su movimiento en la matriz para el impacto.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Edward Rolando Suarez Gomez - Cont</author>
  </authors>
  <commentList>
    <comment ref="Q11" authorId="0" shapeId="0" xr:uid="{00000000-0006-0000-0100-000001000000}">
      <text>
        <r>
          <rPr>
            <sz val="9"/>
            <color indexed="81"/>
            <rFont val="Tahoma"/>
            <family val="2"/>
          </rPr>
          <t xml:space="preserve">
Identifique las acciones a tomar según  zona de riesgo inicial (Riesgo Inherente)
 Identifique las acciones a tomar según  zona de riesgo inicial   (Riesgo Inherente). 
a. Si el riesgo se ubicó en la zona extrema (roja) debe “Evitar el riesgo”, es decir, tomar acciones para prevenir su materialización. Rediseño o Eliminación con controles adecuados a través de acciones correctivas.
b. Si el riesgo se ubicó en la zona importante o  alta (Amarrillo naranja o Ocre) debe “Compartir o Trasferir”, es decir, no se puede evitar. Trasladar   a un tercero quien cubre los impactos ocasionados.
c. Si el riesgo se ubicó en la zona moderada (amarilla) debe “Reducir el riesgo”, es decir, reducir su ocurrencia o impacto.  Buscar que los efectos sean lo menos dañinos posibles.
d. Si el riesgo se ubicó en la zona baja (verde) debe “Asumir el riesgo”, es decir, realizar acciones y/o actividades para cubrir el riesgo. No es ignorar el riesgo es cubrir el riesgo, planeando acciones de apoyo para cuando ocurra el evento.
</t>
        </r>
      </text>
    </comment>
    <comment ref="L100" authorId="0" shapeId="0" xr:uid="{00000000-0006-0000-0100-000002000000}">
      <text>
        <r>
          <rPr>
            <sz val="9"/>
            <color indexed="81"/>
            <rFont val="Tahoma"/>
            <family val="2"/>
          </rPr>
          <t xml:space="preserve">
Identifique las acciones a tomar según  zona de riesgo inicial (Riesgo Inherente)
 Identifique las acciones a tomar según  zona de riesgo inicial   (Riesgo Inherente). 
a. Si el riesgo se ubicó en la zona extrema (roja) debe “Evitar el riesgo”, es decir, tomar acciones para prevenir su materialización. Rediseño o Eliminación con controles adecuados a través de acciones correctivas.
b. Si el riesgo se ubicó en la zona importante o  alta (Amarrillo naranja o Ocre) debe “Compartir o Trasferir”, es decir, no se puede evitar. Trasladar   a un tercero quien cubre los impactos ocasionados.
c. Si el riesgo se ubicó en la zona moderada (amarilla) debe “Reducir el riesgo”, es decir, reducir su ocurrencia o impacto.  Buscar que los efectos sean lo menos dañinos posibles.
d. Si el riesgo se ubicó en la zona baja (verde) debe “Asumir el riesgo”, es decir, realizar acciones y/o actividades para cubrir el riesgo. No es ignorar el riesgo es cubrir el riesgo, planeando acciones de apoyo para cuando ocurra el evento.
</t>
        </r>
      </text>
    </comment>
  </commentList>
</comments>
</file>

<file path=xl/sharedStrings.xml><?xml version="1.0" encoding="utf-8"?>
<sst xmlns="http://schemas.openxmlformats.org/spreadsheetml/2006/main" count="3478" uniqueCount="1116">
  <si>
    <t>Código</t>
  </si>
  <si>
    <t>Versión</t>
  </si>
  <si>
    <t>Vigencia</t>
  </si>
  <si>
    <t>Actividades de Control</t>
  </si>
  <si>
    <t>Referencia</t>
  </si>
  <si>
    <t xml:space="preserve"> Proceso</t>
  </si>
  <si>
    <t>Dependencia</t>
  </si>
  <si>
    <t>Objetivo Estratégico</t>
  </si>
  <si>
    <t>Objetivo de Proceso</t>
  </si>
  <si>
    <t>Nombre del Riesgo</t>
  </si>
  <si>
    <t xml:space="preserve"> Descripción del Riesgo</t>
  </si>
  <si>
    <t>Clasificación del Riesgo</t>
  </si>
  <si>
    <t>Activo de Información (*)</t>
  </si>
  <si>
    <t>Puntos de Riesgo</t>
  </si>
  <si>
    <t>Causa (s)/
Vulnerabilidades</t>
  </si>
  <si>
    <t>Probabilidad</t>
  </si>
  <si>
    <t>Valoración Impacto</t>
  </si>
  <si>
    <t>Valor</t>
  </si>
  <si>
    <t>Resultado</t>
  </si>
  <si>
    <t>Descripción del Control</t>
  </si>
  <si>
    <t>Califique el control</t>
  </si>
  <si>
    <t>Causa Inmediata (¿cómo?)</t>
  </si>
  <si>
    <t>Áreas de Impacto/consecuencias</t>
  </si>
  <si>
    <t xml:space="preserve">Factor de Riesgo </t>
  </si>
  <si>
    <t>Identifique la fuente generadora</t>
  </si>
  <si>
    <t>Tipo
del Control</t>
  </si>
  <si>
    <t>Porcentaje</t>
  </si>
  <si>
    <t>Implementación</t>
  </si>
  <si>
    <t>Frecuencia</t>
  </si>
  <si>
    <t>Evidencia</t>
  </si>
  <si>
    <t>Tratamiento</t>
  </si>
  <si>
    <t>Acciones Preventivas/tratamiento</t>
  </si>
  <si>
    <t>soporte/entregable</t>
  </si>
  <si>
    <t xml:space="preserve">Responsable de la acción </t>
  </si>
  <si>
    <t>Periodo Seguimiento</t>
  </si>
  <si>
    <t>Fecha de Inicio</t>
  </si>
  <si>
    <t>Fecha de terminación</t>
  </si>
  <si>
    <t>Acciones de contingencia ante posible materialización</t>
  </si>
  <si>
    <t>Soporte de cumplimiento de la acción de contingencia</t>
  </si>
  <si>
    <t>Responsable de ejecutar la acción de contingencia</t>
  </si>
  <si>
    <t>Tiempo de ejecución de la acción de contingencia.</t>
  </si>
  <si>
    <t>Indicador</t>
  </si>
  <si>
    <t>3- Media</t>
  </si>
  <si>
    <t>Manual</t>
  </si>
  <si>
    <t>Documentado</t>
  </si>
  <si>
    <t>Aleatorio</t>
  </si>
  <si>
    <t>Media - 60%</t>
  </si>
  <si>
    <t>Menor - 40%</t>
  </si>
  <si>
    <t>Mensual</t>
  </si>
  <si>
    <t>Direccionamiento Estrategico</t>
  </si>
  <si>
    <t>Gestión Apoyo</t>
  </si>
  <si>
    <t>Gestión  Humana</t>
  </si>
  <si>
    <t>Operaciones Aéreas</t>
  </si>
  <si>
    <t>Inspección Control y Gestión de la Seguridad Operacional</t>
  </si>
  <si>
    <t>Procesos Institucionales</t>
  </si>
  <si>
    <t>Objetivos Estratégicos</t>
  </si>
  <si>
    <t>Ejercer el dominio en el aire, el espacio y ciberespacio, contribuyendo a la Defensa y Seguridad de la Nación y sus intereses, así como al logro de los fines  del estado</t>
  </si>
  <si>
    <t>Contribuir a la seguridad y asistencia humanitaria hemisférica</t>
  </si>
  <si>
    <t>Fortalecer la integridad, la ética, la transparencia y la legitimidad institucional</t>
  </si>
  <si>
    <t>Sostener, preservar y proteger el poder aéreo, espacial y ciberespacial</t>
  </si>
  <si>
    <t>Fortalecer el desempeño institucional y las relaciones estratégicas</t>
  </si>
  <si>
    <t>Fortalecer las capacidades del poder aéreo, espacial y ciberespacial</t>
  </si>
  <si>
    <t>Fortalecer el posicionamiento regional y la cooperación internacional</t>
  </si>
  <si>
    <t>Consolidar  la  Autoridad  Aeronáutica  de  Aviación  de  Estado</t>
  </si>
  <si>
    <t>Contribuir a la consolidación del control institucional del territorio y la protección de los recursos naturales</t>
  </si>
  <si>
    <t>Fortalecer la doctrina y la gestión del conocimiento</t>
  </si>
  <si>
    <t>Consolidar el sistema de ciencia, tecnología e innovación institucional</t>
  </si>
  <si>
    <t>Incorporar, fidelizar y promover el desarrollo y desempeño  del talento humano</t>
  </si>
  <si>
    <t>Fraude externo</t>
  </si>
  <si>
    <t>Fraude interno</t>
  </si>
  <si>
    <t>Fallas tecnológicas</t>
  </si>
  <si>
    <t>Relaciones laborales</t>
  </si>
  <si>
    <t>Usuarios, productos y prácticas</t>
  </si>
  <si>
    <t>Daños a activos fijos/ eventos externos</t>
  </si>
  <si>
    <t>Procesos</t>
  </si>
  <si>
    <t>Talento humano</t>
  </si>
  <si>
    <t>Factor de Riesgo (Página 33)</t>
  </si>
  <si>
    <t>Tecnología</t>
  </si>
  <si>
    <t>Infraestructura</t>
  </si>
  <si>
    <t>Evento externo</t>
  </si>
  <si>
    <t>Clasificación del Riesgo de Gestión / Seguridad Digital  (Página 37)</t>
  </si>
  <si>
    <t>Insumos</t>
  </si>
  <si>
    <t>Productos</t>
  </si>
  <si>
    <t xml:space="preserve">Resultados </t>
  </si>
  <si>
    <t>Impactos</t>
  </si>
  <si>
    <t>Puntos de Riesgo(Página 31)</t>
  </si>
  <si>
    <t>Números aleatorios</t>
  </si>
  <si>
    <t>Código por combinación</t>
  </si>
  <si>
    <t>Zona de riesgo inicial</t>
  </si>
  <si>
    <r>
      <t xml:space="preserve">Opción de manejo ó tratamiento 
</t>
    </r>
    <r>
      <rPr>
        <b/>
        <sz val="10"/>
        <color indexed="10"/>
        <rFont val="Trebuchet MS"/>
        <family val="2"/>
      </rPr>
      <t/>
    </r>
  </si>
  <si>
    <t>1-Muy baja</t>
  </si>
  <si>
    <t>1 Leve</t>
  </si>
  <si>
    <t>1 - Zona de riesgo Baja</t>
  </si>
  <si>
    <t>Aceptar el riesgo</t>
  </si>
  <si>
    <t>2 Menor</t>
  </si>
  <si>
    <t>2 - Zona de riesgo Baja</t>
  </si>
  <si>
    <t>3 Moderado</t>
  </si>
  <si>
    <t>3 - Zona de riesgo Moderada</t>
  </si>
  <si>
    <t>Reducir el riesgo</t>
  </si>
  <si>
    <t>4 Mayor</t>
  </si>
  <si>
    <t>4 - Zona de riesgo Alta</t>
  </si>
  <si>
    <t xml:space="preserve">5 Catastrófico </t>
  </si>
  <si>
    <t>5 - Zona de riesgo Extremo</t>
  </si>
  <si>
    <t>Evitar o compartir el riesgo</t>
  </si>
  <si>
    <t>2- Baja</t>
  </si>
  <si>
    <t>1 Insignificante</t>
  </si>
  <si>
    <t>2 - Zona de riesgo Moderada</t>
  </si>
  <si>
    <t>1 - Zona de riesgo Moderada</t>
  </si>
  <si>
    <t>4- Alta</t>
  </si>
  <si>
    <t>3 - Zona de riesgo Alta</t>
  </si>
  <si>
    <t>5 - Muy Alta</t>
  </si>
  <si>
    <t>1 - Zona de riesgo Alta</t>
  </si>
  <si>
    <t>6 - Muy Alta</t>
  </si>
  <si>
    <t>2 - Zona de riesgo Alta</t>
  </si>
  <si>
    <t>7 - Muy Alta</t>
  </si>
  <si>
    <t>8 - Muy Alta</t>
  </si>
  <si>
    <t>9 - Muy Alta</t>
  </si>
  <si>
    <t>MAPA DE CALOR RIESGO DE GESTIÓN</t>
  </si>
  <si>
    <t>Preventivo</t>
  </si>
  <si>
    <t xml:space="preserve">Detectivo </t>
  </si>
  <si>
    <t>Correctivo</t>
  </si>
  <si>
    <t>Atributos de para el diseño del control (Página 47)</t>
  </si>
  <si>
    <t>Automático</t>
  </si>
  <si>
    <t>Sin documentar</t>
  </si>
  <si>
    <t>Atributos  Informativos - Documentación</t>
  </si>
  <si>
    <t>Atributos de eficiencia Implementación</t>
  </si>
  <si>
    <t>Continuo</t>
  </si>
  <si>
    <t>Atributos del control – Frecuencia</t>
  </si>
  <si>
    <t>Atributos del control – Evidencia</t>
  </si>
  <si>
    <t>Con Registro</t>
  </si>
  <si>
    <t>Sin Registro</t>
  </si>
  <si>
    <t>RIESGO INHERENTE</t>
  </si>
  <si>
    <t>PLATAFORMA ESTRATÉGICA</t>
  </si>
  <si>
    <t>DISTRIBUCIÓN DE CAMPOS LISTAS DESPLEGABLES</t>
  </si>
  <si>
    <t>Muy Baja - 20%</t>
  </si>
  <si>
    <t>Baja - 40%</t>
  </si>
  <si>
    <t>Alta - 80%</t>
  </si>
  <si>
    <t>Muy Alta - 100%</t>
  </si>
  <si>
    <t>Leve -20%</t>
  </si>
  <si>
    <t>Moderado - 60%</t>
  </si>
  <si>
    <t>Mayor -80%</t>
  </si>
  <si>
    <t>Catastrófico-100%</t>
  </si>
  <si>
    <t>Impacto</t>
  </si>
  <si>
    <t>Calculo Riesgo Inherente</t>
  </si>
  <si>
    <t>%</t>
  </si>
  <si>
    <t>% Probabilidad</t>
  </si>
  <si>
    <t>Probabilidad Residual</t>
  </si>
  <si>
    <t>Impacto Residual</t>
  </si>
  <si>
    <t>Valor Total</t>
  </si>
  <si>
    <t>% Impacto</t>
  </si>
  <si>
    <t>Ubique la nueva valoración y zona del riesgo residual 
(Ver Mapa de Calor)</t>
  </si>
  <si>
    <t>Mapa de Calor Riesgo Residual</t>
  </si>
  <si>
    <t>Periodo de seguimiento</t>
  </si>
  <si>
    <t>Diario</t>
  </si>
  <si>
    <t>Semanal</t>
  </si>
  <si>
    <t>Quincenal</t>
  </si>
  <si>
    <t>Bimensual</t>
  </si>
  <si>
    <t>Trimestral</t>
  </si>
  <si>
    <t>Categoría del Riesgo</t>
  </si>
  <si>
    <t>Gestión</t>
  </si>
  <si>
    <t>Seguridad Digital</t>
  </si>
  <si>
    <t>Control</t>
  </si>
  <si>
    <t>Calificación
( Probabilidad)</t>
  </si>
  <si>
    <t>Calificación
( impacto)</t>
  </si>
  <si>
    <t>Imapcto Residual</t>
  </si>
  <si>
    <t xml:space="preserve">Ubicación </t>
  </si>
  <si>
    <t xml:space="preserve">FUERZA AEROESPACIAL COLOMBIANA </t>
  </si>
  <si>
    <r>
      <t xml:space="preserve">IDENTIFICACIÓN DEL RIESGO
</t>
    </r>
    <r>
      <rPr>
        <i/>
        <sz val="12"/>
        <color theme="0"/>
        <rFont val="Arial"/>
        <family val="2"/>
      </rPr>
      <t>Riesgo Inherente</t>
    </r>
  </si>
  <si>
    <r>
      <t xml:space="preserve">ANÁLISIS
</t>
    </r>
    <r>
      <rPr>
        <i/>
        <sz val="12"/>
        <color theme="0"/>
        <rFont val="Arial"/>
        <family val="2"/>
      </rPr>
      <t>Riesgo Inherente</t>
    </r>
  </si>
  <si>
    <r>
      <rPr>
        <b/>
        <sz val="12"/>
        <color theme="0"/>
        <rFont val="Arial"/>
        <family val="2"/>
      </rPr>
      <t>ANÁLISIS</t>
    </r>
    <r>
      <rPr>
        <sz val="12"/>
        <color theme="0"/>
        <rFont val="Arial"/>
        <family val="2"/>
      </rPr>
      <t xml:space="preserve">
Riesgo Residual</t>
    </r>
  </si>
  <si>
    <t>Plan de contingencia</t>
  </si>
  <si>
    <t>Plan de Tratamiento</t>
  </si>
  <si>
    <t>MATRIZ DE CAPTURA ANÁLISIS DE RIESGOS DE GESTIÓN, RIESGOS SEGURIDAD DIGITAL Y RIESGO FISCAL</t>
  </si>
  <si>
    <t>DE-SEMEP-FR-088</t>
  </si>
  <si>
    <t xml:space="preserve">Contempla la no aplicación o cumplimiento en los lineamientos emitidos en materia de modelos de gestión, transparencia y planes de gobierno, los cuales son de cumplimiento obligatorio según lo establecido mediante la normatividad legal vigente. </t>
  </si>
  <si>
    <t xml:space="preserve">Incumplimiento en la aplicación de los lineamientos y normatividad emitidos por el Gobierno Nacional </t>
  </si>
  <si>
    <t>Omisión, desconocimiento y falta de capacitación sobre los lineamientos emitidos por el Gobierno Nacional</t>
  </si>
  <si>
    <t>Reputacional</t>
  </si>
  <si>
    <t>No Aplica</t>
  </si>
  <si>
    <t>Falta de Capacitación
Rotación del Personal
Desactualización Normativa</t>
  </si>
  <si>
    <t>Ejecución y Administración de procesos</t>
  </si>
  <si>
    <t>Fiscal</t>
  </si>
  <si>
    <t xml:space="preserve">3. El personal de la Sección Estratégica y Gestión Pública diligenciará y verificará trimestralmente el avance de cumplimiento al Plan del programa de Transparencia y Ética Pública. </t>
  </si>
  <si>
    <t>Reporte de Avance Trimestral donde se detalle las tareas cumplidas en el trimestre de análisis</t>
  </si>
  <si>
    <t>SEGEP</t>
  </si>
  <si>
    <t>SEGES</t>
  </si>
  <si>
    <t>02/enero/2024 
01/abr/2024
02/jul/2024
01/oct/2024</t>
  </si>
  <si>
    <t>30/abril/2024
28/junio/2024
30/septiembre/2024
31/diciembre/2024</t>
  </si>
  <si>
    <t>01 Mes</t>
  </si>
  <si>
    <t>DEGEP</t>
  </si>
  <si>
    <t>Plan de Mejoramiento
Acta de monitoreo mensual</t>
  </si>
  <si>
    <t xml:space="preserve">2.   El personal de la Sección Gestión de la Estrategia realizará verificación y contraste de las actas de la RAE correspondientes a los tres trimestres del 2024, mediante una lista de chequeo en la cual se verifican los valores ejecutados, el nivel de cumplimiento y el cumplimiento al procedimiento Seguimiento a la estrategia. De encontrarse novedades se retroalimenta mediante correo electrónico al que haga sus veces en planeación en Dependencias, Comandos o Unidades según corresponda. </t>
  </si>
  <si>
    <t>Lista de Chequeo Excel donde se detalla posibles novedades que existan en el acta - Documento donde se evidencie retroalimentación a las Partes Interesadas.</t>
  </si>
  <si>
    <t xml:space="preserve">02/enero/2024 
01/abr/2024
02/jul/2024
</t>
  </si>
  <si>
    <t xml:space="preserve">31/mayo/2024
30/agosto/2024
29/noviembre/2024
</t>
  </si>
  <si>
    <t>1.Socialización mediante piezas gráficas del modelo Integrado de Planeación y Gestión - MIPG</t>
  </si>
  <si>
    <t>Pieza Gráfica difundida mediante medios FAC a todo el personal de la Institución</t>
  </si>
  <si>
    <t>Posibilidad de pérdida reputacional ocasionada por el Incumplimiento en la aplicación de los lineamientos emitidos  por el Gobierno Nacional y Entes Externos en modelos de gestión y planes  debido a la omisión, desconocimiento y falta de capacitación sobre los lineamientos afectando el desempeño institucional.</t>
  </si>
  <si>
    <t>Mapa de Riesgos de Gestión, Seguridad Digital y Fiscal FAC 2024</t>
  </si>
  <si>
    <t>Amenazas (*)</t>
  </si>
  <si>
    <t>Causa raíz (¿por qué?)</t>
  </si>
  <si>
    <t>Documentación</t>
  </si>
  <si>
    <t>Direccionamiento Estratégico</t>
  </si>
  <si>
    <t>El Jefe del DEGEP ordenará actividades de recolección de información, que permitan esclarecer los hechos y generar un Plan de Mejoramiento, que despliegue acciones de acción inmediata, llevando a cabo un monitoreo constante hasta el cierre del Plan de Mejoramiento.</t>
  </si>
  <si>
    <t>AAAES</t>
  </si>
  <si>
    <t>Ejecución y administración de procesos</t>
  </si>
  <si>
    <t>El Jefe de la Oficina AAAES ordena al  Especialista en Planes y Regulaciones (EEPYR) en compañía con el Especialista en Seguimiento y Evaluación (EESEV) elabora una estadística trimestral y será enviada mediante oficio al Jefe de la Oficina de la AAAES, con la relación de los proyectos de regulaciones aeronáuticas y documentos AE tramitadas en su despacho, las cuales se encuentran previamente validadas técnica y jurídicamente. La estadística contiene como mínimo los siguientes aspectos: tipo de regulación, materia, área que la elaboró, estado actual y observaciones. Esto, para mantener control y seguimiento de que las publicaciones emitidas cumplan con lo establecido en el RACAE 11.</t>
  </si>
  <si>
    <t>EEPYR</t>
  </si>
  <si>
    <t>1/01/2023
01/04/2023
01/07/2023
01/10/2023</t>
  </si>
  <si>
    <t>1. Regulación aeronáutica  y sus antecedentes.                                     2. Oficio donde se evidencia el control de cumplimiento de los pasos del RACAE 11.</t>
  </si>
  <si>
    <t>No contar con personal de cada uno de los Entes de Aviación de Estado de acuerdo a la TOE, los cuales deben ser asignados en el plan traslados.</t>
  </si>
  <si>
    <t>Que no sea asignado personal a la AAAES de los Entes de Aviación de Estado de acuerdo a los cargos purpura y según las necesidades de la Oficina de acuerdo a la TOE.</t>
  </si>
  <si>
    <t>Secretaria Militar</t>
  </si>
  <si>
    <t>Número de cargos  a ocupar de la Oficina AAAES</t>
  </si>
  <si>
    <t>OINCO</t>
  </si>
  <si>
    <t>Posibilidad de perdida reputacional y económica, cuando se decrete una prescripción disciplinaria y/o administrativa en la FAC, debido a la Dilación en los términos de ley, dentro de los procesos disciplinarios y de responsabilidad administrativa</t>
  </si>
  <si>
    <t>En materia Disciplinaria: Ley 1862 de 2017 ARTÍCULO 87. CADUCIDAD. La acción disciplinaria caduca en cinco años contados a partir de la ocurrencia del hecho o del último suceso si es continuado por parte de la autoridad disciplinaria competente.  CADUCIDAD Y PRESCRIPCIÓN.ARTÍCULO 88. PRESCRIPCIÓN. La acción disciplinaria prescribirá en cinco años, contados a partir del auto de apertura del proceso.
Para las faltas que afecten gravemente el Derecho Internacional Humanitario, la prescripción será de doce años.
La prescripción de la acción empezará a contarse para las faltas instantáneas desde el día de la consumación; en las conductas de carácter permanente o continuado, desde la realización del último acto.
La ejecución de la sanción disciplinaria prescribe en el término de cinco años, contados a partir de la ejecutoria del fallo.
En materia de Responsabilidad Administrativa: Ley 1476 de 2011 :ARTÍCULO 92. CADUCIDAD Y PRESCRIPCIÓN. La actuación administrativa caducará si transcurridos cinco (5) años desde la ocurrencia del hecho generador del daño al patrimonio público, no se ha proferido auto de apertura del proceso de responsabilidad administrativa. Este término empezará a contarse para los hechos o actos instantáneos desde el día de su realización, y para los complejos, de tracto sucesivo, de carácter permanente o continuado desde el último hecho o acto.
La responsabilidad administrativa prescribirá en cinco (5) años, contados a partir del auto de apertura del proceso de responsabilidad administrativa, si dentro de dicho término no se ha dictado providencia en firme que la declare.
ARTÍCULO 93. PRESCRIPCIÓN DE VARIAS ACCIONES. Cuando fueren varias las acciones investigadas en un solo proceso, la prescripción se cumple independientemente para cada una de ellas.</t>
  </si>
  <si>
    <t>Cuando se decrete una prescripción disciplinaria y/o administrativa en la FAC</t>
  </si>
  <si>
    <t>Dilación e inobservancia en los términos de ley, dentro de los procesos disciplinarios y de responsabilidad administrativa.
Incorrecta interpretación del régimen de responsabilidad administrativa y el código disciplinario militar, respecto al computo del inicio del término de prescripción de las acciones.</t>
  </si>
  <si>
    <t>Falta de conocimiento del personal 
Incorrecta interpretación de la norma 
Inobservancia de los términos de ley</t>
  </si>
  <si>
    <t>La Oficina de Investigaciones Disciplinarias y Administrativas del Comandante de la FAC, realizará la verificación trimestral del cargue oportuno de datos de investigaciones disciplinarias y administrativas a través del SIGEJ y los soportes físicos(Actas, libros) remitidos por cada una de las UMA, a cargo de la Oficina de Investigaciones Disciplinarias y Administrativas del Comandante FAC, a fin de controlar los términos de las Investigaciones, así como las actuaciones llevadas a cabo en estas.</t>
  </si>
  <si>
    <t>La Oficina de Investigaciones Disciplinarias y Administrativas del Comandante de la FAC, realizará análisis de términos y movimiento de las Investigaciones de las UMA y enviará reporte a las Unidades que presenten inactividad en los procesos.</t>
  </si>
  <si>
    <t>Reporte del seguimiento</t>
  </si>
  <si>
    <t>01/01/2024
01/04/2024
01/07/2024
01/10/2024</t>
  </si>
  <si>
    <t>29/03/2024
28/06/2024
30/09/2024
31/12/2024</t>
  </si>
  <si>
    <t>Acciones legales en materia disciplinaria correspondientes por parte del funcionario competente</t>
  </si>
  <si>
    <t>Informe y formato de lecciones aprendidas</t>
  </si>
  <si>
    <t>Dependencia donde se presente la materialización del riesgo</t>
  </si>
  <si>
    <t>30 días</t>
  </si>
  <si>
    <t>Índice de prescripción de las investigaciones disciplinarias y administrativas</t>
  </si>
  <si>
    <t>Los Jefes de los Departamentos Jurídicos y Derechos Humanos o ESPECIALISTA JURIDICO DISCIPLINARIO Y ADMINISTRATIVO en los Grupos Aéreos realizan reunión mensual de seguimiento y control de investigaciones con los Segundos Comandantes de la Unidad, con la finalidad de estudiar las investigaciones en las que se evidencie inactividad o demás novedades como método de prevención de la prescripción.</t>
  </si>
  <si>
    <t>DEAJU</t>
  </si>
  <si>
    <t>Posibilidad de afectación reputacional y económica por incumplimiento de la normatividad vigente aplicable a cada una de las áreas del Departamento Estratégico Asuntos Jurídicos y Derechos Humanos, debido a la falta de estandarización, conocimiento y capacitación del personal del área jurídica  en la FAC.</t>
  </si>
  <si>
    <t xml:space="preserve">Incumplimiento de la normatividad aplicable  y la  posible incurrencia en sanciones legales o administrativas,  por el incumplimiento de leyes y regulaciones normativas internas.
</t>
  </si>
  <si>
    <t>Incumplimiento de la normatividad vigente y procedimientos propios de la fuerza</t>
  </si>
  <si>
    <t>Falta de estandarización, conocimiento y capacitación del personal del área jurídica en los procedimientos jurídicos propios de la Fuerza.</t>
  </si>
  <si>
    <t xml:space="preserve">Falta de capacitación 
Falta de estandarización en los procedimientos jurídicos </t>
  </si>
  <si>
    <t>Circulares, acta de socialización, actas de capacitación, píldoras o cápsulas informativas</t>
  </si>
  <si>
    <t>Secciones DEAJU</t>
  </si>
  <si>
    <t>*Elaboración de informe al Jefe de la Dependencia responsable de la materialización.
*Investigaciones disciplinarias, fiscales y penales (Dependiendo del alcance)
*Socialización de las Lecciones Aprendidas</t>
  </si>
  <si>
    <t>* Informe
* Formato 
 Lecciones Aprendidas y acta de socialización</t>
  </si>
  <si>
    <t>El Jefe del Departamento Jurídico de las Unidades Militares Aéreas y Escuelas de Formación y el Especialista Jurídico Legal en los Grupos Aéreos, realizará trimestralmente acta firmada, de la revisión de la aplicación dentro de sus dependencias de todos los procedimientos del Área Jurídica cargados en la Suite Visión.</t>
  </si>
  <si>
    <t>Las Secciones del DEAJU, realizaran capacitación Semestral a los especialistas jurídicos y/o técnicos jurídicos sobre la normatividad jurídica vigente.</t>
  </si>
  <si>
    <t>Actas de Capacitación y listados de asistencia.</t>
  </si>
  <si>
    <t>Semestral</t>
  </si>
  <si>
    <t>01/01/2024
01/07/2024</t>
  </si>
  <si>
    <t>28/06/2024
31/12/2024</t>
  </si>
  <si>
    <t>Jefe Oficina AAAES</t>
  </si>
  <si>
    <t>Posibilidad de pérdida reputacional por la participación de personal con perfil inapropiado que  integre  en la estructuración y desarrollo de Estudios Estratégicos en la FAC.</t>
  </si>
  <si>
    <t>Personal que participa que no cumple los perfiles o competencias requeridos para la construcción de Estudios Estratégicos a partir de los cuales se toman decisiones estratégicas futuras para establecer programas y proyectos de la FAC.</t>
  </si>
  <si>
    <t>Inadecuado análisis en la construcción de estudios estratégicos.</t>
  </si>
  <si>
    <t>Inapropiado perfil del personal que integra las mesas de trabajo o la Mesa Técnica de Alto Nivel de Expertos MTANE si aplica.</t>
  </si>
  <si>
    <t>Inapropiada validación de perfiles del personal que integra las mesas de trabajo para la generación de estudios y/o de escenarios apropiados.</t>
  </si>
  <si>
    <t>Una vez se convoquen las mesas se establecerán los perfiles mínimos dados en experiencia y conocimiento del personal que debe participar según sea el enfoque del estudio. (Entregable: Oficio solicitando la participación de personal con un perfil mínimo requerido.)</t>
  </si>
  <si>
    <t>Validación de perfiles del personal</t>
  </si>
  <si>
    <t xml:space="preserve"> Acta de verificación del personal que conforma las mesas corroborar el cumplimiento del perfil.</t>
  </si>
  <si>
    <t>Especialista Estratégico en Logística Militar</t>
  </si>
  <si>
    <t xml:space="preserve">02-01-2024          02-07-2024           </t>
  </si>
  <si>
    <t xml:space="preserve">28-06-2024                27-12-2024                  </t>
  </si>
  <si>
    <t>1. Citar a un nuevo comité que integre la Mesa Técnica de Alto Nivel de Expertos- MTANE a fin de volver a realizar el estudio prospectivo.                                                                                                                                          2. Alineación del portafolio de iniciativas frente al nuevo escenario determinado.</t>
  </si>
  <si>
    <t>Documentos de citación y actas de las mesas de trabajo</t>
  </si>
  <si>
    <t>Jefe DEALE</t>
  </si>
  <si>
    <t>Validación con los responsables de proceso de los resultados parciales obtenidos en las mesas estudios.</t>
  </si>
  <si>
    <t>Acta u oficio donde se validan los resultados parciales y si se esta de acuerdo con estos o se tiene observaciones.</t>
  </si>
  <si>
    <t xml:space="preserve">02-01-2024     01-04-2024     02-07-2024     01-10-2024      </t>
  </si>
  <si>
    <t xml:space="preserve">22-03-2024               28-06-2024                  27-09-2024                 27-12-2024    </t>
  </si>
  <si>
    <t>1. Citar a un nuevo comité que integre la Mesa Técnica de Alto Nivel de Expertos- MTANE a fin de volver a realizar el estudio prospectivo.                                                                                                                                          2.  Alineación del portafolio de iniciativas frente al nuevo escenario determinado o ajuste según observaciones.</t>
  </si>
  <si>
    <t>DEALE</t>
  </si>
  <si>
    <t>DEDAE</t>
  </si>
  <si>
    <t>Posibilidad de pérdida reputacional por mantener información desactualizada traducida en desinformación, fuga de capital intelectual, o poca accesibilidad a los documentos de doctrina .</t>
  </si>
  <si>
    <t>Pérdida reputacional por mantener información desactualizada traducida en desinformación, fuga de capital intelectual, o poca accesibilidad a los documentos de doctrina, debido a un déficit del manejo en las lecciones aprendidas e identificadas</t>
  </si>
  <si>
    <t xml:space="preserve">Procesos </t>
  </si>
  <si>
    <t xml:space="preserve">Inadecuado manejo de las lecciones aprendidas e identificadas generando perdida de conocimiento y afectación a los procesos </t>
  </si>
  <si>
    <t>Falla en los procedimientos</t>
  </si>
  <si>
    <t>El jefe de la Sección Lecciones Aprendidas trimestralmente revisa y aprueba las tareas establecidas en el plan de actividades mediante la plataforma SVE, correspondientes a las propuestas enviadas por los diferentes comandos y UMAs, así mismo, actualiza trimestralmente el subsitio “lecciones aprendidas” del SharePoint de doctrina FAC con la información recopilada. Lo anterior, deberá quedar plasmado en un acta, que, en el evento de encontrar novedades, debe registrar en el acta los compromisos correspondientes para la solución de estas y posterior enviar los soportes de la solución de los mismos, garantizado de esta manera que el personal tenga la posibilidad de acceder a la información actualizada fácilmente.</t>
  </si>
  <si>
    <t>Acta de revisión donde se evidencie los controles realizados por el aplicativo suite visión a las diferentes bases enunciando el total de lecciones aprendidas recopiladas en el trimestre  y la socialización de las lecciones aprendías más relevantes en  la plataforma  SharePoint</t>
  </si>
  <si>
    <t>Gestores de doctrina</t>
  </si>
  <si>
    <t>01/ene/24 01/abr/24 01/jul/24 01/oct/24</t>
  </si>
  <si>
    <t>05/abr/24 05/jul/24 04/oct/24 19/dic/24</t>
  </si>
  <si>
    <t xml:space="preserve">jefe sección estratégica lecciones aprendidas </t>
  </si>
  <si>
    <t xml:space="preserve">Mantener documentación y manuales instruccionales desactualizados </t>
  </si>
  <si>
    <t xml:space="preserve">El jefe de la Sección Estratégica de Doctrina verifica que el promedio trimestral del Indicador de la “jerarquía de Doctrina” se encuentre actualizado, disponible (publicado en SharePoint) y sea superior al 60%, que en el evento que el indicador se encuentre por debajo, debe gestionar que los documentos desactualizados inicien su proceso de gestión de acuerdo al Plan Maestro de Doctrina. </t>
  </si>
  <si>
    <t>Mesas de trabajo con los diferentes dependencias que tienen a cargo la actualización, creación o derogación de manuales estableciendo plazos para el cumplimiento.</t>
  </si>
  <si>
    <t>Acta trimestral  de revisión de los documentos que componen la jerarquía de la doctrina verificando que se encuentre actualizado en 60 % o superior.</t>
  </si>
  <si>
    <t>Documento con Plan de Actividades de la Doctrina actualizado</t>
  </si>
  <si>
    <t>La posibilidad de afectar negativamente la reputación surge cuando  no se conserva el conocimiento tácito adquirido en los diferentes cargos de la organización, afectado nuevas generaciones, generando duplicidad en procesos ya culminados por la institución.</t>
  </si>
  <si>
    <t xml:space="preserve">Fuga de capital al no conservar el conocimiento tácito  que generan los diferentes cargos en la fuerza aeroespacial colombiana </t>
  </si>
  <si>
    <t>el gestor de doctrina deberá revisar semestralmente los diferentes cargos críticos  de la unidad donde evidencie un formato de entrega mediante acta o documento de entrega vigente  que recopilen los conocimientos tácitos propios del cargo, para esto deberá anexar acta firmada por el comandante de la unidad  donde  evidencie la revisión y posibles novedades encontradas. adicional se debe enviar evidencia del cumplimiento  del formato para registro de transferencia del conocimiento FAC GH-JEAES-FR-646 que tiene como objetivo: Cumplir los lineamientos para la transferencia de conocimiento, entre el personal que se retira del servicio activo o cambia de cargo, permitiendo  que el conocimiento tácito adquirido por los funcionarios Militares y Civiles se conserve.</t>
  </si>
  <si>
    <t xml:space="preserve">
Reuniones con los diferentes gestores de doctrina socializando la tarea y como efectuar la revisión para evitar fuga de conocimiento </t>
  </si>
  <si>
    <t xml:space="preserve">
Acta de revisión donde se evidencie la transferencia de conocimiento en los diferentes cargos </t>
  </si>
  <si>
    <t>Especialista Estratégico Doctrina</t>
  </si>
  <si>
    <t xml:space="preserve">01/ene/24  01/jul/24 </t>
  </si>
  <si>
    <t>05/jul/24 19/dic/24</t>
  </si>
  <si>
    <t xml:space="preserve">
Reunión con el gestor de doctrina de la unidad verificando la actualización documental y evitar posible fuga de conocimiento</t>
  </si>
  <si>
    <t xml:space="preserve">Documento firmado a las diferentes unidades en caso de encontrarse novedades con la transferencia del conocimiento mediante las actas de entrega. </t>
  </si>
  <si>
    <t>Que la publicación de carácter regulatorio de la Aviación de Estado  no cumpla con los criterios de necesidad, pertinencia, oportunidad y armonía con las regulaciones de la OACI, UAEAC y otras autoridades civiles y militares internacionales</t>
  </si>
  <si>
    <t>El Jefe de la Oficina AAAES verifica trimestralmente que los proyectos de regulaciones aeronáuticas, se encuentren validados técnica y jurídicamente (firmados por Jefe AAAES y EEALA), antes de la radicación en el despacho de COFAC para su revisión y aprobación como AAAES, con el fin de procurar que las mismas sean pertinentes, oportunas, necesarias y se encuentren en armonía con las expedidas por la OACI, UAEAC y otras autoridades civiles y militares internacionales. En el evento que no se encuentren validadas se devolverá al área correspondiente.</t>
  </si>
  <si>
    <t>Copia de la estadística enviada a Jefe Oficina AAAES</t>
  </si>
  <si>
    <t>1. Iniciar el proceso de revisión,  enmienda, modificación y/o derogación de la regulación aeronáutica o documento AE que materializó el riesgo.                                                      2. Verificar en la elaboración de la regulación aeronáutica o documento AE, que cumplan los criterios de necesidad, pertinencia, oportunidad y armonía con las regulaciones de la OACI, UAEAC y otras autoridades civiles y militares internacionales.                     3. Validación técnica y jurídica por parte de la oficina AAAES.                4. Aprobación y subscripción por parte de la Oficina AAAES para tramitar ante AAAES                                        5. Realizar las publicaciones necesarias en la página web de la AAAES.</t>
  </si>
  <si>
    <t>Número de publicaciones aeronáuticas tramitadas trimestralmente ante el Jefe de la Oficina AAAES.</t>
  </si>
  <si>
    <t>El Jefe de la Oficina AAAES ordena trimestralmente a EEPYR y en compañía del EESEV elaborar un cuadro con el seguimiento de las áreas de la Oficina AAAES, en donde se evidencia el tipo de publicación con los pasos establecidos en RACAE 11 para el cumplimiento y control de este.</t>
  </si>
  <si>
    <t>El Jefe de la Oficina AAAES ordena a el Especialista en Planes y Regulaciones (EEPYR) en compañía del Especialista en Seguimiento y Evaluación (ESSEV) enviar mediante oficio a la Subjefatura el seguimiento de los proyectos de publicaciones en desarrollo por las áreas de la Oficina AAAES, en donde se evidencia el cumplimiento del RACAE 11.</t>
  </si>
  <si>
    <t>Copia del oficio que se envía al Sub jefe de la Oficina AAAES</t>
  </si>
  <si>
    <t>Posibilidad de no contar con el personal de cada uno de los Entes de Aviación de Estado de acuerdo a la TOE para la elaboración de publicaciones aeronáuticas, que conllevaría afectaría al ejercicio regulatorio por parte de la AAAES y afectaría a la seguridad operacional de los Entes de Aviación de Estado</t>
  </si>
  <si>
    <t xml:space="preserve">Posibilidad que para el plan traslados, no se gestione o se asigne personal por parte de los Entes de Aviación de Estado a los cargos vacantes de la Oficina AAAES, esto para la elaboración y publicación de regulaciones aeronáuticas </t>
  </si>
  <si>
    <t>El Jefe de la Oficina AAAES en compañía de los Jefes de las áreas y de la secretaria militar, realizan trimestralmente el estudio de los perfiles de los cargos para posterior elevar la solicitud ante las oficinas competentes de los Entes de Aviación de Estado, sobre las necesidades de asignación de persona para el plan traslados.</t>
  </si>
  <si>
    <t xml:space="preserve"> El Jefe de la Oficina AAAES solicita semestralmente, con oficio o correo electrónico, el personal que se requiere de acuerdo a la TOE para suplir las vacantes existentes en la dependencia.</t>
  </si>
  <si>
    <t>Copia del oficio que se envía a los Entes de Aviación de Estado de la necesidad de personal de la AAAES</t>
  </si>
  <si>
    <t>1. Los jefes de área realizan estudio de los perfiles del personal requerido ante el Jefe de la Oficina AAAES.
2. La secretaria militar recopila la información de la necesidad de personal de las áreas.
3. Realizar solicitud mediante oficio a los Entes de Aviación de Estado para que asignen personal a la Oficina AAAES.
4. Verificar para el plan traslados de mitad o fin de año que el personal asignado sea idóneo para el cargo propuesto dentro de la oficina.</t>
  </si>
  <si>
    <t>1. Oficio de la solicitud de personal a los Entes de Aviación de Estado.
2. Documentación que soporte el traslado del personal a la AAAES.</t>
  </si>
  <si>
    <t>El Jefe del Departamento Jurídico de las Unidades Militares Aéreas y Escuelas de Formación y el Especialista Jurídico Legal en los Grupos Aéreos, realizará trimestralmente acta firmada, en la cual se deje constancia de la socialización y verificación de los procedimientos del área jurídica cargados y actualizados en la SVE de competencia del nivel táctico. (Se realizará la asignación 1 o 2 procedimientos por trimestre).</t>
  </si>
  <si>
    <t>Las Secciones del DEAJU, realizaran de forma trimestral, la emisión de lineamientos y directrices jurídicas que desarrollen temas de interés para el personal jurídico de la FAC.</t>
  </si>
  <si>
    <t>Índice de Fortalecimiento Jurídico de la Fuerza Aérea Colombiana Prom</t>
  </si>
  <si>
    <t>Mantener documentación desactualizada</t>
  </si>
  <si>
    <t>Se realizará revisión del plan de acción donde las bases deberán entregar el acta de socialización trimestral, con listado de asistencia, se debe verificar la lección aprendida trimestral que genere impacto a nivel estratégico.</t>
  </si>
  <si>
    <t>Exigir las evidencias de un cronograma de cumplimiento del Plan Maestro de Doctrina a las unidades especificándolo en un documento (acta, oficio) y su respectiva socialización.</t>
  </si>
  <si>
    <t>Documento escrito (Acta, oficio) exigiendo el cumplimiento u actualización del Plan Maestro de
Doctrina. Se deberá realizar un registro negativo en el personal de gestores de doctrina si se evidencia un incumplimiento en el plan de acción y en el cargue de las tareas en el aplicativo suite visión en las fechas establecidas para su cumplimiento</t>
  </si>
  <si>
    <t xml:space="preserve">15 días </t>
  </si>
  <si>
    <t>Déficit en el seguimiento constante de la Jerarquía de Doctrina Institucional y al Proceso de Gestión de la Doctrina.</t>
  </si>
  <si>
    <t>Jefe Sección Estratégica de Doctrina</t>
  </si>
  <si>
    <t>Posibilidad de perdida reputacional  por no conservar el conocimiento tácito en los diferentes cargos ocupados por el personal orgánico de la fuerza aeroespacial colombiana, lo que podría resultar en la propagación de desinformación, pérdida de capital intelectual.</t>
  </si>
  <si>
    <t xml:space="preserve">Perdida de conocimiento tácito </t>
  </si>
  <si>
    <t xml:space="preserve">Posibilidad de pérdida reputacional por emitir una publicación de carácter regulatorio de Aviación de Estado, que no cumpla con los criterios de necesidad, pertinencia, oportunidad y armonía con las regulaciones de la OACI, UAEAC y otras autoridades civiles y militares internacionales. </t>
  </si>
  <si>
    <t>Posibilidad de pérdida de credibilidad como AAAES, al generar un compendio regulatorio de la Aviación de Estado que no contribuya a mejorar la eficiencia de la seguridad operacional, al no cumplir con los criterios de necesidad, pertinencia, oportunidad y armonía con las regulaciones de la OACI, UAEAC y otras autoridades civiles y militares internacionales, y es desarrollado por personal asignado a la oficina AAAES sin el perfil y experiencia necesaria para expedición de regulaciones aeronáuticas.</t>
  </si>
  <si>
    <t>Elaboración de una publicación regulatoria que no cumpla con los criterios establecidos y la cual no este en armonía con regulaciones civiles y militares internacionales.</t>
  </si>
  <si>
    <t>DESPP</t>
  </si>
  <si>
    <t>2024-COFAC-DE  Riesgo Posibilidad de pérdida económica y reputacional por deficiencias en la gestión de los recursos asignados al ordenador del gasto y/o por controles inefectivos al realizar el seguimiento a cada una de las etapas precontractual y contractual por parte del supervisor del convenio.</t>
  </si>
  <si>
    <t xml:space="preserve">Los convenios de Colaboración y de Cooperación con el sector minero energético, interadministrativo y de cooperación con empresas públicas o privadas, cuentan con vigencia de ejecución de los aportes y vigencia operativa determinada dentro del cuerpo del convenio; la ejecución de estos recursos al interior de la FAC, entregas de  bienes o servicios, ingreso a los estados financieros o ejecución operativa, se deben desarrollar dentro de la vigencia del convenio , en caso contrario generaría hallazgos, investigaciones administrativas, devoluciones de recursos a la empresas y procesos jurídicos. </t>
  </si>
  <si>
    <t>Inoportuna entrega de informes o reportes de ejecución mensual por parte de los supervisores designados.</t>
  </si>
  <si>
    <t>Debilidad en la supervisión del funcionario responsable de la asignación, ejecución y seguimiento de los recursos.</t>
  </si>
  <si>
    <t xml:space="preserve">
*Compromiso
*Conocimiento
*Idoneidad
*Sobrecarga laboral</t>
  </si>
  <si>
    <t xml:space="preserve">Aplicar la DIRECTIVA PERMANENTE No. 010 / 2023 "DIRECTRICES PARA LA CELEBRACIÓN Y LA ADMINISTRACIÓN DE RECURSOS PROVENIENTES DE CONVENIOS DE COOPERACIÓN Y COLABORACIÓN" ,Anexo A FUNCIONES DE LOS SUPERVISORES DE CONVENIOS SUSCRITOS POR EL COMANDO DE LA FAC CON ENTIDADES PÚBLICAS O PRIVADAS QUE NO PERTENECEN AL SECTOR MINERO ENERGÉTICO, teniendo en cuenta los siguientes requisitos:
1. El funcionario de la sección convenio realizará la consolidación y verificación  de los informes Anexos E-F-G-H-I emitidos por los supervisores designados de cada UMA o Dependencias FAC al cual se le asigna los recursos con el fin de dar cumplimiento a lo pactado en el Plan de inversión de cada  convenio y así revisar los avances o demoras en la ejecución,  para implementar acciones que agilicen el aprovechamiento de los recursos, tomar las medidas correspondientes e informar a las empresas si hay posibilidad de suscribir una ampliación de vigencia para ejecutar la totalidad de los recursos.
2. El funcionario de la sección convenios consolidará, elaborará y enviará informe trimestral del estado de los convenios al MDN y CGFM elaborados con base a los informes enviados por los supervisores de acuerdo a los anexos que corresponda </t>
  </si>
  <si>
    <t xml:space="preserve">Acta Comité de Coordinación firmada por las partes involucradas </t>
  </si>
  <si>
    <t>Jefe Sección Convenios</t>
  </si>
  <si>
    <t>1/01/2024
16/04/2024
16/07/2024
16/10/2024</t>
  </si>
  <si>
    <t>15/04/2024
15/07/2024
15/10/2024
15/01/2025</t>
  </si>
  <si>
    <t xml:space="preserve">1) Reporte a JEMFA, para revisar la ejecución de recursos y ejecución operativa en la que se autorizan las modificaciones o instrucciones que se emitan de acuerdo a  cada convenio. </t>
  </si>
  <si>
    <t>Oficio  reportando la situación del convenio , afectaciones y posibles cursos de acción .</t>
  </si>
  <si>
    <t>Inmediata</t>
  </si>
  <si>
    <t>Inoportuna entrega de informe trimestral ante el MDN y CGFM</t>
  </si>
  <si>
    <t>2) Reunión comité asesor MDN de acuerdo a la necesidad que se establezca  en el convenio, con el fin de ampliar vigencias y   ejecutar los recursos o terminación anticipada del convenio.</t>
  </si>
  <si>
    <t xml:space="preserve">Acta Comité Asesor firmada por las partes </t>
  </si>
  <si>
    <t>El Jefe de la sección convenios realizará Comités de Coordinación con las diferentes empresas o entidades  a convenir, mínimo dos veces durante la vigencia del convenio mostrando el avance y estado de ejecución financiera y operativa,  dejando como evidencia las actas de comités de coordinación, en caso de variaciones durante la ejecución financiera u operativa que afecten el convenio se acogerá a las clausulas de cumplimiento, compromisos, liquidación o terminación del convenio según  correspondan y las determinadas en el Manual de Contratación y de  Convenios  vigente.</t>
  </si>
  <si>
    <t>Posibilidad de perdida reputacional y económica por proyectar cambios en la estructura de Fuerza que no correspondan a la misión y roles de la Fuerza Aeroespacial Colombiana, debido al desconocimiento de la Doctrina y la Estrategia por parte de las áreas funcionales.</t>
  </si>
  <si>
    <t>Posibilidad de perdida reputacional y económica por proyectar cambios en la estructura de Fuerza que no correspondan a la misión y roles de la Fuerza Aeroespacial Colombiana, debido al desconocimiento de la Doctrina y la Estrategia por parte de las áreas funcionales, el cual se materializa en el caso de autorizar un cambio a la estructura organizacional que no sea coherente a la doctrina, capacidades, tamaño de fuerza y estrategia de la Fuerza.</t>
  </si>
  <si>
    <t>Ejecución y administración de procesos
Daños a activos fijos/ eventos externos</t>
  </si>
  <si>
    <t>Incumplimiento a los lineamientos establecidos por la Institución y/o Entes Externos</t>
  </si>
  <si>
    <t>Desconocimiento de la Doctrina y la Estrategia por parte de las áreas funcionales.
Desconocimiento del procedimiento.
Error Humano.</t>
  </si>
  <si>
    <t>Procesos 
Talento Humano
Tecnología
Infraestructura
Evento Externo</t>
  </si>
  <si>
    <t>Procedimientos.
 Talento Humano</t>
  </si>
  <si>
    <t>El Departamento Estratégico de Transformación liderará la evaluación de estructuras organizacionales de la Fuerza Aeroespacial Colombiana, realizando seguimiento de manera semestral y dejando como soporte un acta, oficio o presentación, según corresponda.</t>
  </si>
  <si>
    <t>El Comando de la Fuerza a través de SEMEP  analizará y verificará que la modificación a la organización se realice bajo los parámetros establecidos por la Fuerza Aeroespacial Colombiana, mediante la aplicación del procedimiento DE-SEMEP-PR-003, el análisis de las solicitudes recibidas, esto, con el fin de evitar desalineación con la doctrina y la estrategia.</t>
  </si>
  <si>
    <t xml:space="preserve">Acta, Oficio o presentación  que contenga los lineamientos y/o avances para la Evaluación Estructura Organizacional de la Fuerza Aeroespacial Colombiana.
</t>
  </si>
  <si>
    <t>TC. Castro Serrano Lina Margarita</t>
  </si>
  <si>
    <t xml:space="preserve">Modificación del Acto Administrativo </t>
  </si>
  <si>
    <t xml:space="preserve">Acta, Oficio o presentación que contenga los lineamientos y/o avances para la evaluación estructura organizacional de la Fuerza Aeroespacial Colombiana.
</t>
  </si>
  <si>
    <t>Jefe Departamento Estratégico Transformación</t>
  </si>
  <si>
    <t>12 meses</t>
  </si>
  <si>
    <t>DETRA</t>
  </si>
  <si>
    <t>Reputacional
Económico</t>
  </si>
  <si>
    <t xml:space="preserve">28/06/2024
31/12/2024
</t>
  </si>
  <si>
    <t xml:space="preserve">02/01/2024
02/07/2024
</t>
  </si>
  <si>
    <t>OCOES</t>
  </si>
  <si>
    <t>Posibilidad de pérdida reputacional por la falta de credibilidad de las partes interesadas debido a la publicación de información no veraz, errada, inoportuna en los boletines de prensa.</t>
  </si>
  <si>
    <t xml:space="preserve">Publicación de boletines de prensa difundidos en la pagina Web de la FAC, con información errónea, falta de veracidad e inoportuna que ponga en riesgo la legitimidad institucional.
</t>
  </si>
  <si>
    <t>Falta de compromiso institucional, omisión a las funciones de su cargo y/o error humano, por parte de los Jefes Oficina Comunicaciones Públicas o Especialistas Comunicación Pública</t>
  </si>
  <si>
    <t xml:space="preserve">El Jefe de la Oficina de Prensa a final del mes, debe consolidar los boletines de prensa realizados por cada UMA, los cuales deben cumplir previamente con el protocolo establecido en el boletín de prensa, para posterior firma del Comandante de Unidad, de tal manera se verificará su autorización de publicación. En caso de no estar avalado por el comandante de la UMA, se deberá corregir y presentarse de nuevo para su autorización y publicación.
</t>
  </si>
  <si>
    <t>Acta y listado de asistencia</t>
  </si>
  <si>
    <t>Especialista Estratégico Prospectiva y Gestión de las Comunicaciones</t>
  </si>
  <si>
    <t>01/01/2024
 01/04/2024
 01/07/2024
 01/10/2024</t>
  </si>
  <si>
    <t>26/03/2024 
 28/06/2024 
27/09/2024 
27/12/2024</t>
  </si>
  <si>
    <t>1. Los Jefes Oficina Comunicaciones Públicas o Especialistas Comunicación Públicas de las UMA enviarán la información rectificada a medios de comunicación 
2. Realizar lección aprendida cuando el riesgo se materialice.</t>
  </si>
  <si>
    <t xml:space="preserve">Nuevo boletín de prensa  </t>
  </si>
  <si>
    <t xml:space="preserve">
Jefe Oficina Comunicaciones Públicas
</t>
  </si>
  <si>
    <t xml:space="preserve">Inmediatamente se materializa el riesgo </t>
  </si>
  <si>
    <t xml:space="preserve">2. El Jefe Oficina Comunicaciones Estratégicas realizará una socialización trimestral del procedimiento Boletines de prensa al personal de comunicaciones estratégicas de las UMA con la intención de recordar la importancia de cada uno de los pasos descritos en este documento.
</t>
  </si>
  <si>
    <t xml:space="preserve">Acta y listado de asistencia
</t>
  </si>
  <si>
    <t>Jefe Oficina Comunicaciones Estratégicas</t>
  </si>
  <si>
    <t>OFAOC</t>
  </si>
  <si>
    <t>Posibilidad de pérdida reputacional por demandas y tutelas en contra de la Institución, debido al incumplimiento  a los términos de ley de las PQRSDF por parte del personal competente.</t>
  </si>
  <si>
    <t>Este riesgo contempla el  incumplimiento a los términos de respuesta de la PQRSDF por parte de los competentes, de conformidad a Ley 1755 del 2015 y sus modificaciones.</t>
  </si>
  <si>
    <t>Ejecución y Administración de Procesos</t>
  </si>
  <si>
    <t>Demandas y tutelas en contra de la Institución</t>
  </si>
  <si>
    <t>Incumplimiento de los términos de ley   por parte del competente de brindar respuesta a la PQRSDF</t>
  </si>
  <si>
    <t>Proceso: Desconocimiento procedimientos y falta de capacitación personal</t>
  </si>
  <si>
    <t xml:space="preserve">
La Oficina Atención y Orientación Ciudadana consolida el seguimiento semanal del sistema de gestión documental HERMES módulo PQRSDF, realizado a nivel estratégico, operacional y táctico. En caso de evidenciar que un término se encuentra vencido o próximo a vencerse, se establece comunicación inmediata con el competente para que gestione la respuesta. En el evento que el competente no brinde respuesta y de lugar a acciones legales AYUGE-OFAOC procederá a solicitar la acción disciplinaria correspondiente. Mensualmente se carga las actas de seguimiento a las PQRSDF en la SVE.
</t>
  </si>
  <si>
    <t>Zona de riesgo moderada</t>
  </si>
  <si>
    <t>Realizar el informe trimestral de PQRSDF de acuerdo a los lineamientos del Ministerio de Defensa Nacional - Oficina de Relación con el Ciudadano.
Realizar informe de cumplimiento a términos de Ley, indicando tipo de solicitud, asunto, número de solicitudes recibidas, número de solicitudes que fueron trasladadas a otra Institución, tiempo de respuesta a cada solicitud, y número de solicitudes en las que se negó el acceso a la información.
Realizar reporte trimestral por parte de las Unidades Militares Aéreas, Escuelas de Formación, Clubes Militares y Base Aérea COFAC, de las tutelas allegadas a la institución por vulneración al derecho de petición.</t>
  </si>
  <si>
    <t>Jefe OFAOC y Técnico Asistente OFAOC nivel estratégico y operacional y Jefe Departamentos Jurídicos y DDHH / Especialista Jurídico Legal y/o Especialista Jurídico Disciplinario y Administrativo Grupos Aéreos / Subdirectores Clubes Fuerza Aérea Colombiana / Especialista Jurídico Comando Base Aérea COFAC</t>
  </si>
  <si>
    <t>01/01/2023
01/04/2023
01/07/2023
01/10/2023</t>
  </si>
  <si>
    <t>05/04/2023
05/07/2023
05/10/2023
05/01/2024</t>
  </si>
  <si>
    <t>Solicitar respuesta inmediata y  de fondo de la PQRSDF al competente y solicitar las acciones disciplinarias, correctivas o sancionatorias según corresponda.</t>
  </si>
  <si>
    <t>Informe</t>
  </si>
  <si>
    <t xml:space="preserve">Jefe OFAOC y Técnico Asistente OFAOC nivel estratégico y operacional y Jefe Departamentos Jurídicos y DDHH / Especialista Jurídico Legal y/o Especialista Jurídico Disciplinario y Administrativo Grupos Aéreos / Subdirectores Clubes Fuerza Aérea Colombiana / Especialista Jurídico Comando Base Aérea COFAC y el competente de brindar respuesta a la PQRSD
</t>
  </si>
  <si>
    <t>Índice de oportunidad de respuesta de PQRSD</t>
  </si>
  <si>
    <t>SEPHI</t>
  </si>
  <si>
    <t>Posibilidad de afectación reputacional por pérdida del patrimonio histórico institucional debido a la falta de lineamientos para el mantenimiento de patrimonio material e inmaterial</t>
  </si>
  <si>
    <t>Falta de lineamientos</t>
  </si>
  <si>
    <t>Ausencia y/o deficiencia en la aplicación de lineamientos para la conservación del patrimonio 
Falta de capacitación de personal
Instalaciones inadecuadas para el mantenimiento y conservación de los bienes adquiridos como patrimonio histórico</t>
  </si>
  <si>
    <t xml:space="preserve">Falta de procedimientos
Falta de capacitación
Falta de Instalaciones Adecuadas </t>
  </si>
  <si>
    <t>Revisar material de exposición que sea prestado para algún tipo de evento o actividad externa al Museo. Esta actividad es realizada por el Técnico Especialista mantenimiento y su frecuencia es de acuerdo a los requerimientos que se reciban, quedando registrada en el documento vale por devolutivos</t>
  </si>
  <si>
    <t xml:space="preserve">Vale por devolutivos elementos de exposición  </t>
  </si>
  <si>
    <t>Técnico Especialista en Mantenimiento</t>
  </si>
  <si>
    <t xml:space="preserve">01/01/2024   01/04/2024 01/07/2024 01/10/2024 </t>
  </si>
  <si>
    <t>31/03/2024 30/06/2024 30/09/2024 31/12/2024</t>
  </si>
  <si>
    <t>Evaluación del material de exposición, para determinar el daño</t>
  </si>
  <si>
    <t>Solicitud consultas material bibliográfico. Estas deben ser solicitadas mediante oficio o correo electrónico y son tramitadas por el Auxiliar para Apoyo de Seguridad y Defensa y su registro queda  en el libro de minuta</t>
  </si>
  <si>
    <t>Auxiliar para Apoyo de Seguridad y Defensa</t>
  </si>
  <si>
    <t xml:space="preserve">01/01/2024
 01/04/2024 01/07/2024 01/10/2024 </t>
  </si>
  <si>
    <t>31/03/2024 30/06/2024 30/09/2024
31/12/2024</t>
  </si>
  <si>
    <t>Efectuar mantenimiento y/o reparación, o sustitución material</t>
  </si>
  <si>
    <t>Orientación a la conservación del patrimonio histórico / charlas históricas. Estas son realizadas mediante oficio o correo electrónico y son efectuadas por el Jefe Sección Estratégica Patrimonio Histórico o el Secretario de la Academia Colombiana de Historia Aérea</t>
  </si>
  <si>
    <t xml:space="preserve">01/01/2024 01/04/2024 01/07/2024 01/10/2024 </t>
  </si>
  <si>
    <t>Elaboración de informe</t>
  </si>
  <si>
    <t>Técnico Especialista en Mantenimiento
Auxiliar para Apoyo de Seguridad y Defensa</t>
  </si>
  <si>
    <t>Gestión de apoyos entes externos, colaboración de otras entidades</t>
  </si>
  <si>
    <t>Oficios</t>
  </si>
  <si>
    <t>5 días</t>
  </si>
  <si>
    <t>La deficiencia de personal, capacitación, ausencia de directrices, carencia de espacios físicos, ausencia de herramientas de control y limitaciones de presupuesto pueden causar el deterioro o pérdida total del patrimonio histórico de la Fuerza</t>
  </si>
  <si>
    <t>Fotografías e 
Informe</t>
  </si>
  <si>
    <t>Registro libro de minuta o correo electrónico</t>
  </si>
  <si>
    <t xml:space="preserve">Oficio solicitud o correo electrónico </t>
  </si>
  <si>
    <t>Jefe Sección Estratégica Patrimonio Histórico</t>
  </si>
  <si>
    <t>Jefe Sección Estratégica Patrimonio Histórico
Auxiliar para Apoyo de Seguridad y Defensa</t>
  </si>
  <si>
    <t>RG-DE-001</t>
  </si>
  <si>
    <t>RG-DE-002</t>
  </si>
  <si>
    <t>RG-DE-003</t>
  </si>
  <si>
    <t>RG-DE-004</t>
  </si>
  <si>
    <t>RG-DE--005</t>
  </si>
  <si>
    <t>RG-DE-007</t>
  </si>
  <si>
    <t>RG-DE-006</t>
  </si>
  <si>
    <t>RG-DE-008</t>
  </si>
  <si>
    <t>RG-DE-009</t>
  </si>
  <si>
    <t>RG-DE-010</t>
  </si>
  <si>
    <t>RG-DE-011</t>
  </si>
  <si>
    <t>RG-DE-012</t>
  </si>
  <si>
    <t>RG-DE-013</t>
  </si>
  <si>
    <r>
      <t xml:space="preserve">1.  El personal de la Sección Estratégica y Gestión Pública liderará la programación al menos una vez al semestre de la reunión del Comité Institucional de Gestión y Desempeño en el cual se verificará  el avance de cumplimiento de las políticas del Modelo Integrado de Planeación y Gestión- MIPG, de lo cual se levantará acta de la reunión, tomando acciones de mejoramiento continuo.
</t>
    </r>
    <r>
      <rPr>
        <b/>
        <sz val="12"/>
        <color theme="1"/>
        <rFont val="Arial"/>
        <family val="2"/>
      </rPr>
      <t xml:space="preserve">Entregable: </t>
    </r>
    <r>
      <rPr>
        <sz val="12"/>
        <color theme="1"/>
        <rFont val="Arial"/>
        <family val="2"/>
      </rPr>
      <t>Acta Comité Institucional de Gestión y Desempeño</t>
    </r>
  </si>
  <si>
    <r>
      <t xml:space="preserve">2. El personal de la Sección Gestión de la Estrategia y sus homólogos en la Inspección General, los Comandos y las Unidades Militares Aéreas - UMA´S coordinarán y realizarán la Reunión de Análisis Estratégico - RAE presidida por el Comandante a su nivel, con periodicidad trimestral evidenciando el cumplimiento de la estrategia FAC a nivel Institucional, de lo cual se levantará acta de la reunión y se realizará cargué en la SVE asociado al BSC que corresponda. </t>
    </r>
    <r>
      <rPr>
        <b/>
        <sz val="12"/>
        <color theme="1"/>
        <rFont val="Arial"/>
        <family val="2"/>
      </rPr>
      <t>Entregable</t>
    </r>
    <r>
      <rPr>
        <sz val="12"/>
        <color theme="1"/>
        <rFont val="Arial"/>
        <family val="2"/>
      </rPr>
      <t>: Acta RAE - Listado de Asistencia</t>
    </r>
  </si>
  <si>
    <r>
      <t xml:space="preserve">3. El personal del Departamento Estratégico y Gestión Pública coordinará anualmente el Taller de Alineación para el personal de los Departamentos de Planeación en las UMAs ,así como sus homólogos en la Inspección General y demás Dependencias COFAC, donde se abordarán y desplegarán los lineamientos asociados al  Modelo de gestión FAC y los Planes vigentes de cumplimiento obligatorio, según aplique.
</t>
    </r>
    <r>
      <rPr>
        <b/>
        <sz val="12"/>
        <color theme="1"/>
        <rFont val="Arial"/>
        <family val="2"/>
      </rPr>
      <t xml:space="preserve">Entregable: </t>
    </r>
    <r>
      <rPr>
        <sz val="12"/>
        <color theme="1"/>
        <rFont val="Arial"/>
        <family val="2"/>
      </rPr>
      <t>Informe donde se especifique la actividad realizada, el personal participante y las temáticas abordadas.</t>
    </r>
  </si>
  <si>
    <t>Que la publicación de carácter regulatorio no sigan con los lineamientos establecidos en el RACAE 11 "REGLAS PARA EL DESARROLLO,
APROBACIÓN, PUBLICACIÓN Y ENMIENDA
DE LOS RACAE"</t>
  </si>
  <si>
    <r>
      <t xml:space="preserve">Aplicar el formato Control Conservación de Patrimonio Histórico, el cual permite controlar la frecuencia con la cual el personal realiza labores de mantenimiento preventivo del patrimonio histórico de la Fuerza Aeroespacial, así como sus tareas especificas. 
Mensualmente se llevará registro de los elementos consignados a la Sección Estratégica Patrimonio Histórico a los cuales se les realizó mantenimiento con el fin de evitar anomalías en los elementos de patrimonio, tales como abolladuras, manchas de suciedad, o daños ambientales así como cualquier elemento y/o factores que afecte la presentación y preservación del patrimonio histórico Institucional, informando en los espacios correspondientes, las acciones correctivas a que haya lugar. 
</t>
    </r>
    <r>
      <rPr>
        <b/>
        <sz val="12"/>
        <color theme="1"/>
        <rFont val="Arial"/>
        <family val="2"/>
      </rPr>
      <t>Responsables de realizar la actividad:</t>
    </r>
    <r>
      <rPr>
        <sz val="12"/>
        <color theme="1"/>
        <rFont val="Arial"/>
        <family val="2"/>
      </rPr>
      <t xml:space="preserve"> Técnico Especialista de Mantenimiento - Operario Pintura Aeronáutica.</t>
    </r>
  </si>
  <si>
    <t xml:space="preserve">
1. Omisión al  procedimiento boletines de prensa.
2. Incumplimiento de la normatividad Ley 1862 de 2017</t>
  </si>
  <si>
    <t xml:space="preserve">
Que los Jefes Oficina Comunicaciones Públicas o Especialistas Comunicación Pública sean inexpertos en el cargo, desconozcan las capacidades de la Fuerza y/o actúen bajo presión de los medios de comunicación para obtener información.
</t>
  </si>
  <si>
    <t xml:space="preserve">1. El Especialista Estratégico Prospectiva y Gestión de las Comunicaciones socializará a los Jefes Oficina Comunicaciones Públicas o Especialistas Comunicación Pública los siguientes temáticas:
Misiones típicas y operaciones FAC-Manual Doctrina Básica, Aérea, Espacial y Ciberespacial 
Principios del periodismo-conceptos académicos.
</t>
  </si>
  <si>
    <t>Informe trimestral PQRSDF   
Informe de cumplimiento a términos de Ley, indicando tipo de solicitud, asunto, número de solicitudes recibidas, número de solicitudes que fueron trasladadas a otra Institución, tiempo de respuesta a cada solicitud, y número de solicitudes en las que se negó el acceso a la información.
Acta entregable que sustente el seguimiento trimestral realizado a las peticiones  allegadas por  correo electrónico, telefónico y presencial.</t>
  </si>
  <si>
    <t>3 días</t>
  </si>
  <si>
    <t>Índice soporte logístico no aeronáutico</t>
  </si>
  <si>
    <t>8 días</t>
  </si>
  <si>
    <t>Director Logístico de los Servicios</t>
  </si>
  <si>
    <t>*Informes a SECON de la unidad militar informando sobre la novedad presentada por posible materialización 
*Apertura de la investigación formal de los hechos ocurridos en la materialización del riesgo si es el caso.
*Elaboración de lecciones aprendidas</t>
  </si>
  <si>
    <t>Informar al CEOAF como segunda línea de defensa en el tema de riesgos sobre el posible hecho encontrado y marcar como alerta de posible materialización y solicitud de activación del plan de contingencia por materialización</t>
  </si>
  <si>
    <t>Subdirector de Bienes y Servicios</t>
  </si>
  <si>
    <t>Acta mensual de control  ejecución del presupuesto asignado para la adquisición de la dotación para personal militar y civil de la FAC.</t>
  </si>
  <si>
    <t>Subdirector de Bienes y servicios del nivel central coordinará trimestralmente el informe la ejecución de los apoyos presupuestales que fueron recibidos de acuerdo a las necesidades de intendencia del personal militar y civil de la FAC</t>
  </si>
  <si>
    <t>El Subdirector de Bienes y Servicios (DILOS), elabora un acta mensual, donde se controle la ejecución del presupuesto asignado para la adquisición de la dotación para personal militar y civil de la FAC.</t>
  </si>
  <si>
    <t>Pérdidas derivadas de errores en la ejecución y administración de procesos.</t>
  </si>
  <si>
    <t>Económico</t>
  </si>
  <si>
    <t>Incumplimiento al procedimiento para la evaluación de conformidad</t>
  </si>
  <si>
    <t>Afectación del presupuesto por el recibo de elementos deficientes</t>
  </si>
  <si>
    <t>Actividad administrativa, contable y financiera</t>
  </si>
  <si>
    <t>Incumplimiento al seguimiento de la ejecución de los recursos de intendencia del personal militar y civil de la FAC, debido a posibles fallas en cada una de las etapas de los procesos contractuales</t>
  </si>
  <si>
    <t>DILOS</t>
  </si>
  <si>
    <t>1mes</t>
  </si>
  <si>
    <t>Subdirección Combustible</t>
  </si>
  <si>
    <t>Formato GA-JELOG-FR-096 combustible terrestre mensual.</t>
  </si>
  <si>
    <t>El Comandante del Escuadrón de los Servicios de la Unidad Militar, coordinara la elaboración de acta general trimestral de valoración del estado actual de los complejos de combustible terrestre.</t>
  </si>
  <si>
    <t>El Comandante del Escuadrón de los Servicios de la Unidad Militar, coordinara la realización mensual del control y verificación del estado físico del complejo de combustible terrestre, mediante el formato GA-JELOG-FR-96</t>
  </si>
  <si>
    <t>Índice soporte logístico aeronáutico</t>
  </si>
  <si>
    <t>1 mes</t>
  </si>
  <si>
    <t>Formato GA-JELOG-FR-096 combustible de aviación mensual.</t>
  </si>
  <si>
    <t>El comandante del escuadrón abastecimiento coordinara la elaboración de acta general trimestral de valoración del estado actual de los complejos de combustible aéreo.</t>
  </si>
  <si>
    <t>El Comandante del Escuadrón Abastecimiento Unidad Militar, coordinara la realización mensual del control y verificación del estado físico del complejo de combustible de aviación, mediante el formato GA-JELOG-FR-096</t>
  </si>
  <si>
    <t>Pérdidas derivadas de errores en la ejecución y administración de procesos/Pérdida debido a actos de fraude, actuaciones irregulares, comisión de hechos delictivos abuso de confianza, apropiación indebida, incumplimiento de regulaciones legales o internas de la entidad</t>
  </si>
  <si>
    <t>Derrame injustificado de combustible perteneciente a la FAC</t>
  </si>
  <si>
    <t>Omisión de funciones administrativas en la verificación de los equipos utilizados en el proceso entrega y recepción.</t>
  </si>
  <si>
    <t>Derrame injustificado de combustible perteneciente a la FAC, evidenciándose omisión de funciones administrativas en la verificación de los equipos utilizados en el proceso entrega y recepción</t>
  </si>
  <si>
    <t>Posibilidad de efecto dañoso sobre bienes públicos, por derrame injustificado de combustible perteneciente a la FAC, evidenciándose omisión de funciones administrativas en la verificación de los equipos utilizados en el proceso entrega y recepción.</t>
  </si>
  <si>
    <t>SUCOM</t>
  </si>
  <si>
    <t>Director de Material</t>
  </si>
  <si>
    <t>Informe de confiabilidad trimestral</t>
  </si>
  <si>
    <t>La Dirección de Material coordina la socialización semestral de los procedimientos y controles de los almacenes que permitan a ayudar a reforzar las actividades</t>
  </si>
  <si>
    <t>La Dirección Material del nivel central realizará, seguimiento y control trimestral de las fechas de caducidad de los bienes custodiados por los almacenes de la FAC, mediante seguimiento por medio de Informes de confiabilidad respecto a la cantidad de material que se encuentra en condición de posible vencimiento</t>
  </si>
  <si>
    <t>Deficiencia de seguimiento en las fechas de vencimiento de los bienes</t>
  </si>
  <si>
    <t xml:space="preserve"> Falta garantías en el material almacenado</t>
  </si>
  <si>
    <t>Perdida de recursos del estado por falta de  verificación  del material almacenado en los almacenes de la Fuerza Aérea Colombiana</t>
  </si>
  <si>
    <t>Posibilidad de efecto dañoso sobre bienes públicos, por perdida del bien en el material almacenado, evidenciando omisión por parte del funcionario encargados del seguimiento en las fechas de vencimiento de los bienes.</t>
  </si>
  <si>
    <t>DIMAT</t>
  </si>
  <si>
    <t>Selectivas quincenales GA-JELOG-FR-191</t>
  </si>
  <si>
    <t>El almacenista de la unidad militar, a través de acta general mensual consolidando la información de las selectivas ordenadas y efectuadas en el mes la cual debe estipular la cantidad de ítems verificado, identificando novedades de faltantes y sobrantes en los almacenes sobre el material corroborado</t>
  </si>
  <si>
    <t>El Jefe de almacén de las Unidades Militares realiza, seguimiento y control quincenal por medio de formato selectiva de bienes GA-JELOG-FR-191, con el fin de establecer mecanismos de verificación que ayuden a establecer un autocontrol por parte los almacenistas en el proceso de manejo de bienes</t>
  </si>
  <si>
    <t>Pérdida debido a actos de fraude, actuaciones irregulares, comisión de hechos delictivos abuso de confianza, apropiación indebida, incumplimiento de regulaciones legales o internas de la entidad</t>
  </si>
  <si>
    <t>Perdida, extravío o declaratoria de bienes faltantes pertenecientes a la FAC</t>
  </si>
  <si>
    <t>Omisión de funciones administrativas por diferencia en inventario y la entrega irregular de materiales y equipos</t>
  </si>
  <si>
    <t>Perdida, extravío o declaratoria de bienes faltantes pertenecientes a la FAC, evidenciándose omisión de funciones administrativas por diferencia en inventario y la entrega irregular de materiales y equipos.</t>
  </si>
  <si>
    <t>Posibilidad de efecto dañoso sobre bienes públicos, por perdida, extravío o declaratoria de bienes faltantes pertenecientes a la FAC, evidenciándose omisión de funciones administrativas por diferencia en inventario y la entrega irregular de materiales y equipos</t>
  </si>
  <si>
    <t>Corto plazo</t>
  </si>
  <si>
    <t>Director de Infraestructura</t>
  </si>
  <si>
    <t>Jefe del Área de Doctrina y Control Interno</t>
  </si>
  <si>
    <t>PDF correos trimestrales Outlook de Supervisores</t>
  </si>
  <si>
    <t>El Director de Infraestructura, realiza socialización semestral de aspectos relevantes que se deben tener en cuenta para la Supervisión de contratos correspondiente a lineamientos para la medición y conteo de cantidades de obra, y de la revisión del AIU a través del envío de oficio circular a las UMAS y DIFRA</t>
  </si>
  <si>
    <t>El Jefe del Área de Doctrina y Control Interno, realiza seguimiento y control trimestral, de que las cantidades contractuales adquiridas de bienes y servicios por la entidad correspondan a las existentes en sitio como también que el AIU pagado en los cortes de obra corresponda al contractual para evitar mayores valores pagados, a través del envío por correo electrónico por parte del supervisor del reporte de la medición y conteo selectivo in situ de algunas cantidades de los ítems contratados, y de la revisión del AIU antes del trámite del pago correspondiente.</t>
  </si>
  <si>
    <t>Pérdidas derivadas de errores en la ejecución y administración de procesos/Fallas negligentes o involuntarias de las obligaciones frente a los usuarios y que impiden satisfacer una obligación profesional frente a éstos.</t>
  </si>
  <si>
    <t>Mayor valor pagado por errores en la medición y/o conteo de cantidades en contratos de obra pública</t>
  </si>
  <si>
    <t>Omisión en las funciones de seguimiento y control técnico</t>
  </si>
  <si>
    <t>Mayor valor pagado por errores en la medición y/o conteo de cantidades en contratos de obra pública, evidenciándose una omisión en las funciones de seguimiento y control técnico.</t>
  </si>
  <si>
    <t>Posibilidad de efecto dañoso sobre recursos públicos por mayor valor pagado, producto de errores en la medición y/o conteo de cantidades en contratos de obra pública, evidenciándose una omisión en las funciones de seguimiento y control técnico.</t>
  </si>
  <si>
    <t>DIFRA</t>
  </si>
  <si>
    <t>Cumplimiento al plan de contratación</t>
  </si>
  <si>
    <t>Subdirector de Adquisiciones</t>
  </si>
  <si>
    <t>Actas de socialización y/o actualización semestral</t>
  </si>
  <si>
    <t>El Subdirector de Adquisiciones (ACOFA), se hará seguimiento semestral por medio de acta de socialización, respecto a  temas relacionados con la normatividad contractual que rige para la Agencia de Compras de la FAC (ACOFA), Internacional o del Estado de la Florida.</t>
  </si>
  <si>
    <t>El subdirector de adquisiciones ACOFA coordinará trimestral, la entrega de quejas a ACOFA, con el propósito de establecer el seguimiento de los procesos cerrados y abiertos que permite evidenciar la raíz de la queja, asimismo los puntos de control que se establecen dentro Instructivo  para contratación de bienes y servicios en el exterior.</t>
  </si>
  <si>
    <t>Perdida de recursos en etapa contractual debido a modificaciones contractuales imputables al contratista total o parcialmente y cuyos costos colaterales asume la Entidad</t>
  </si>
  <si>
    <t>Omisión al ejecutar la actividad legal o contractual en el seguimiento, evaluación o estudio de los procesos contractuales ACOFA</t>
  </si>
  <si>
    <t>Actividad de la Etapa Contractual</t>
  </si>
  <si>
    <t>Posibilidad de efecto dañoso sobre recursos públicos, en la etapa contractual debido a modificaciones contractuales imputables al contratista total o parcialmente y cuyos costos colaterales asume la Entidad, evidenciándose una omisión al ejecutar la actividad legal o contractual en el seguimiento, evaluación o estudio de los procesos contractuales ACOFA.</t>
  </si>
  <si>
    <t>ACOFA</t>
  </si>
  <si>
    <t>El Jefe de Contratos del Nivel Central y Unidades Militares</t>
  </si>
  <si>
    <t>Bimestral</t>
  </si>
  <si>
    <t>Director de Compras Públicas</t>
  </si>
  <si>
    <t xml:space="preserve"> Acta de  revisión de carácter bimestral, de los procesos del nivel central que han sido objetos de modificatorios, con el propósito de identificar si se efectuó la verificación en las pólizas de garantía contractual.</t>
  </si>
  <si>
    <t>El Director de Compras Públicas, deberá realizar una circular de carácter semestral, con el propósito de socializar a todas las ordenaciones del gasto de nivel central, las tareas que se derivan al sobrevenir un modificatorio contractual, dentro de las cuales se debe hacer especial énfasis, en la extensión de pólizas de garantías o amparos exigibles, así como la modificación del PAC y demás propias de esa modificación.</t>
  </si>
  <si>
    <t>El Director de Compras Públicas, deberá realizar un acta de  revisión de carácter bimestral, de los procesos del nivel central que han sido objetos de modificatorios, con el propósito de identificar si se efectuó la verificación en las pólizas de garantía contractual, para lo cual deberá dejar constancia de esta actividad mediante acta escrita.</t>
  </si>
  <si>
    <t>Incumplimiento de un funcionario cuando ocurre una modificación al proceso durante la etapa contractual en los procedimientos contractuales, que participan en la supervisión, ordenación presupuestal a ley 80 de 1993, manual de contratación y convenios estatales</t>
  </si>
  <si>
    <t>Omisión por parte de un funcionario en la revisión exhaustiva de las pólizas aportadas por los proveedores para detectar inconsistencias, como: fechas de cobertura incorrectas, falta de inclusión del número del contrato que ampara y demás datos relevantes sin los cuales, el interés asegurable no correspondería con lo establecido por la entidad.</t>
  </si>
  <si>
    <t>Incumplimiento de un funcionario cuando ocurre una modificación al proceso durante la etapa contractual en los procedimientos contractuales, que participan en la supervisión, ordenación presupuestal a ley 80 de 1993, manual de contratación y convenios estatales.</t>
  </si>
  <si>
    <t>Posibilidad de efecto dañoso por no actualizar las garantías o amparos exigibles, cuando ocurre una modificación al proceso durante la etapa contractual en los procedimientos contractuales, que participan en la supervisión, ordenación presupuestal a ley 80 de 1993, manual de contratación y convenios estatales, evidenciándose una omisión por parte de un funcionario en la revisión exhaustiva de las pólizas aportadas por los proveedores para detectar inconsistencias, como: fechas de cobertura incorrectas, falta de inclusión del número del contrato que ampara y demás datos relevantes sin los cuales, el interés asegurable no correspondería con lo establecido por la entidad.</t>
  </si>
  <si>
    <t>DICOP</t>
  </si>
  <si>
    <t>El Jefe de la Sección Seguimiento Ambiental del nivel central (CEGEA), realizará socialización (Captura de pantalla correo Outlook) trimestral de las Zonas Desconcentradas de Seguridad responsabilidad de las UMA</t>
  </si>
  <si>
    <t>El Jefe de la Sección Seguimiento Ambiental del nivel central (CEGEA), realizará socialización (Captura de pantalla correo Outlook) trimestral de las metas de indicadores y puntos de control del procedimiento con  las Unidades.</t>
  </si>
  <si>
    <t>Índice de Protección Ambiental</t>
  </si>
  <si>
    <t>Jefe Sección Seguimiento Ambiental</t>
  </si>
  <si>
    <t>Acta los tramites y cumplimiento de los requerimientos definidos en los permisos otorgados por las Autoridades Ambientales a cada una de las UMA, con el propósito de evitar algún tipo de sanción por fallas en el cumplimiento de los requerimientos definidos en los permisos ambientales en las Unidades Militares</t>
  </si>
  <si>
    <t>El Jefe de la Sección Seguimiento Ambiental del nivel central (CEGEA)  realizará la socialización trimestral de los capítulos de la Guía de Gestión Ambiental desarrollada por el CEGEA, con el fin de unificar criterios para el desarrollo de la Gestión Ambiental con el personal de las Secciones Gestión Ambienta y Secciones Tácticas Gestión Ambiental de las Unidades y las tareas que la soportan así:                
• Primer trimestre: capítulos 1 y 2.
• Segundo trimestre: capítulos 3 y4.
• Tercer trimestre: capítulos 5, 6 y 7.
• Cuarto trimestre: capítulos 8, 9 y 10.</t>
  </si>
  <si>
    <t>El Jefe Sección Seguimiento Ambiental del nivel central (CEGEA), verificará y controlará trimestralmente, por medio de un acta los tramites y cumplimiento de los requerimientos definidos en los permisos otorgados por las Autoridades Ambientales a cada una de las UMA, con el propósito de evitar algún tipo de sanción por fallas en el cumplimiento de los requerimientos definidos en los permisos ambientales en las Unidades Militares</t>
  </si>
  <si>
    <t>Pérdidas derivados de errores en la ejecución y administración de procesos.</t>
  </si>
  <si>
    <t>Omisión en los procedimientos ordenados en los permisos otorgados por las Autoridades Ambientales y normativa aplicable</t>
  </si>
  <si>
    <t>Pago de multa, cláusula penal o cualquier tipo de sanción</t>
  </si>
  <si>
    <t>Fallas en procedimientos de autorizaciones que otorgan las Autoridades Ambientales competentes para la ejecución de un proyecto, obra o actividad, que pueda producir deterioro grave a los recursos naturales renovables o al medio ambiente en general.</t>
  </si>
  <si>
    <t>Posibilidad de efecto dañoso sobre los recursos públicos por pago de multa, cláusula penal o cualquier tipo de sanción, evidenciándose una omisión en los procedimientos ordenados en los permisos otorgados por las Autoridades Ambientales y normativa aplicable.</t>
  </si>
  <si>
    <t>CEGEA</t>
  </si>
  <si>
    <t>Índice soporte logístico aeronáutico 
Índice soporte logístico no aeronáutico</t>
  </si>
  <si>
    <t>Subdirección  Armamento</t>
  </si>
  <si>
    <t xml:space="preserve"> Jefe Área Control Calidad</t>
  </si>
  <si>
    <t>Acta de seguimiento trimestral del  porcentaje de cumplimiento de los planes y programas de mantenimiento de cada una de las unidades por medio del sistema SAP de acuerdo a acta firmada con el objeto de validar el alistamiento del armamento aéreo en las Unidades Militares</t>
  </si>
  <si>
    <t>El jefe Área Control Calidad (ARCAL) nivel central, realizará oficios trimestrales de socialización respecto al manejo de reporte de alistamiento de los equipos de armamento.</t>
  </si>
  <si>
    <t>El especialista operacional de sistema SAP de la Subdirección de Armamento nivel central, verificará  trimestralmente el porcentaje de cumplimiento de los planes y programas de mantenimiento de cada una de las unidades por medio del sistema SAP de acuerdo a acta firmada con el objeto de validar el alistamiento del armamento aéreo en las Unidades Militares</t>
  </si>
  <si>
    <t>Hallazgos derivados de errores en la ejecución y administración de procesos.</t>
  </si>
  <si>
    <t>Incumplir las metas de alistamiento de los equipos de armamento FAC</t>
  </si>
  <si>
    <t>Reducción de capacidades</t>
  </si>
  <si>
    <t>No contar con el alistamiento de armamento requerido, para cumplir con las misiones operacionales de la Fuerza, en las que se configure uso de armamento aéreo o terrestre.</t>
  </si>
  <si>
    <t>Posibilidad de afectación económica por incumplir las metas de alistamiento de los equipos de armamento FAC debido a reducción de capacidades</t>
  </si>
  <si>
    <t>SUBAR</t>
  </si>
  <si>
    <t xml:space="preserve">Índice soporte logístico aeronáutico </t>
  </si>
  <si>
    <t>Subdirección de Mantenimiento</t>
  </si>
  <si>
    <t>Informe evaluación trimestral plan de calidad aeronáutico</t>
  </si>
  <si>
    <t>La Subdirección de Ingeniería y mantenimiento del nivel central realizara acta visita de acompañamiento anual para verificar el plan de calidad aeronáutico en los grupos y escuadrones técnicos de las unidades militares</t>
  </si>
  <si>
    <t>Hallazgos derivados de errores en la ejecución y administración de procesos/Fallas negligentes o involuntarias de las obligaciones frente a los usuarios y que 
impiden satisfacer una obligación profesional frente a éstos.</t>
  </si>
  <si>
    <t>Pérdida de capacidades Unidades Militares</t>
  </si>
  <si>
    <t>Falta de capacidades y/o compromiso del funcionario.</t>
  </si>
  <si>
    <t>Ausencia de atributos de calidad en el desarrollo de trabajos de mantenimiento de las aeronaves.</t>
  </si>
  <si>
    <t>Posibilidad de afectación reputacional por la ausencia de atributos de calidad en el desarrollo de trabajos de mantenimiento de las aeronaves, debido a la falta de capacidades y/o compromiso del funcionario.</t>
  </si>
  <si>
    <t>SUMAN</t>
  </si>
  <si>
    <t>Informe trimestral mediante tableros de control indicadores de confiabilidad en APM Meridium</t>
  </si>
  <si>
    <t>El especialista de confiabilidad Aeronáutica nivel central (SUMAN), realizará evaluación semestral con el objeto de verificar  las flotas críticas de la Fuerza Área de acuerdo al comportamiento del MTBF.</t>
  </si>
  <si>
    <t>El Jefe de Confiabilidad del nivel central verificará el comportamiento de los indicadores de confiabilidad, mediante los informes trimestrales, con el propósito de identificar la afectación de las fallas presentadas en el desempeño de las aeronaves.</t>
  </si>
  <si>
    <t>Ausencia o escasa información para realizar análisis de confiabilidad</t>
  </si>
  <si>
    <t>Falta de reporte de fallas de las aeronaves en las Unidades Militares.</t>
  </si>
  <si>
    <t>Ausencia de información verídica de confiabilidad en el sistema Meridium.</t>
  </si>
  <si>
    <t>Posibilidad de afectación reputacional por la ausencia o escasa información para realizar análisis de confiabilidad debido a la falta de reporte de fallas de las aeronaves en las Unidades Militares.</t>
  </si>
  <si>
    <t xml:space="preserve"> Índice soporte logístico no aeronáutico </t>
  </si>
  <si>
    <t>Subdirector de Calidad a nivel central (DILOS)</t>
  </si>
  <si>
    <t>Subdirector de calidad  del nivel central (DILOS)</t>
  </si>
  <si>
    <t>Actas trimestral firmada de visitas de seguimiento de calidad por parte del evaluador técnico con el propósito de validar los procesos de adquisición de intendencia para el personal militar y civil</t>
  </si>
  <si>
    <t>El subdirector de calidad del nivel central (DILOS), realizará revisión trimestral a través de un acta del estado de seguimiento técnico de los procesos contractuales de intendencia, equipo y alojamiento, con el propósito de ejercer control en el cumplimiento de las normas y especificaciones técnicas.</t>
  </si>
  <si>
    <t>El subdirector de Calidad del nivel central (DILOS) coordinará, la elaboración trimestral de actas firmadas de visitas de seguimiento de calidad por parte del evaluador técnico con el propósito de validar los procesos de adquisición de intendencia para el personal militar y civil</t>
  </si>
  <si>
    <t>Irregularidades en las revisiones y recibo de elementos que no cumplen con las características definidas en las normas y especificaciones técnicas</t>
  </si>
  <si>
    <t xml:space="preserve">Posibilidad de afectación reputacional por incumplimiento al procedimiento para la evaluación de conformidad debido a la afectación del presupuesto por el recibo de elementos deficientes </t>
  </si>
  <si>
    <t xml:space="preserve">Director Logístico de los Servicios </t>
  </si>
  <si>
    <t xml:space="preserve"> Director Logístico de los Servicios y Unidades Militares</t>
  </si>
  <si>
    <t>Acta mensual de control de ejecución del presupuesto asignado para la adquisición de la dotación para personal militar y civil de la FAC</t>
  </si>
  <si>
    <t>Director Logístico de los Servicios  coordinara, acta trimestral de revista por parte de SUMSE, a las Actas de las selectivas de los folios de los vehículos enviadas por las UMA.</t>
  </si>
  <si>
    <t>El Comandante Grupo/Escuadrón de Apoyo Logístico de la Unidad Militar coordinará la realización de Acta selectiva trimestral al 30%, con el objeto de validar la revisión y registro de las novedades de las carpetas de los vehículos según el parque automotor.</t>
  </si>
  <si>
    <t>Incumplimiento del procedimiento elaboración y actualización de la carpeta de documentación y registro histórico de los vehículos</t>
  </si>
  <si>
    <t>Sanción por falta de control del parque automotor asignado</t>
  </si>
  <si>
    <t>Afectación reputacional por incumplimiento del procedimiento elaboración y actualización de las hojas de vida de los vehículos</t>
  </si>
  <si>
    <t>Posibilidad de afectación reputacional por incumplimiento del procedimiento elaboración y actualización de la carpeta de documentación y registro histórico de los vehículos debido a posible sanción por falta de control del parque automotor asignado</t>
  </si>
  <si>
    <t>Jefe del Área de Revisión y Supervisión</t>
  </si>
  <si>
    <t>Informe trimestral tipo presentación  de adquisición de bienes y servicios relacionados con la infraestructura según lo establecido en la minuta y sus modificaciones contractuales</t>
  </si>
  <si>
    <t>El Director de Infraestructura, realiza socialización semestral de aspectos relevantes que se deben tener en cuenta para la Supervisión de contratos correspondiente a lineamientos para el seguimiento y control de ejecución de avance de obra, a través del envío de oficio circular a las UMAS y DIFRA.</t>
  </si>
  <si>
    <t>El Jefe del Área de Revisión y Supervisión, realiza seguimiento y control trimestral a la adquisición de bienes y servicios relacionados con la infraestructura según lo establecido en la minuta y sus modificaciones contractuales, a través del registro en un informe tipo presentación del avance de la ejecución al Ordenador del Gasto.</t>
  </si>
  <si>
    <t>Constitución de reservas expiradas en los proyectos de infraestructura</t>
  </si>
  <si>
    <t>Incumplimiento de metas propuestas y la misión del proceso.</t>
  </si>
  <si>
    <t>Constitución de reservas expiradas en los proyectos de infraestructura debido al incumplimiento de metas propuestas y la misión del proceso.</t>
  </si>
  <si>
    <t>Posibilidad de afectación económica por la constitución de reservas expiradas en los proyectos de infraestructura debido al incumplimiento de metas propuestas y la misión del proceso.</t>
  </si>
  <si>
    <t>15 días</t>
  </si>
  <si>
    <t>Jefatura Administrativa</t>
  </si>
  <si>
    <t>Dirección de Seguimiento y Control</t>
  </si>
  <si>
    <t>Captura de correos Outlook Ordenadores del Gasto</t>
  </si>
  <si>
    <t xml:space="preserve">El Subdirector de Seguimiento Presupuestal y Contractual nivel central (DIGES), se elabora acta de reunión trimestral con los supervisores, con el fin de establecer los plazos de entrega y soportes documentales para las radicaciones de las certificaciones de pago de los ordenadores del gasto CODAF y aspectos por mejorar en referencia a las políticas y disposiciones de orden financiero para el pago de obligaciones contractuales.
</t>
  </si>
  <si>
    <t>El Subdirector de Seguimiento Presupuestal y Contractual (DIGES), enviará trimestralmente correos a los ordenadores del gasto y supervisores de los procesos, como alertas a los plazos de ejecución próximos vencer y que no cuentan los documentos con las condiciones para pago, con el fin de cumplir con las metas presupuestales del nivel central.</t>
  </si>
  <si>
    <t>Trámite de certificaciones para pago sin el lleno de las condiciones de los documentos</t>
  </si>
  <si>
    <t>Incumplimiento de la normatividad financiera y contractual</t>
  </si>
  <si>
    <t>Desconocimiento del proceso de Gestión Administrativa, normas contractuales y presupuestales por parte de los ordenadores y supervisores de contratos y personal que interviene en la verificación de documentación de paquetes para pago,  generando fallas en los procedimientos establecidos y posible hallazgos por entes de control.</t>
  </si>
  <si>
    <t>Posibilidad de afectación reputacional por el trámite de certificaciones para pago sin el lleno de las condiciones de los documentos de acuerdo a la normatividad financiera y contractual, debido a que puede generar reprocesos administrativos</t>
  </si>
  <si>
    <t>DIGES</t>
  </si>
  <si>
    <t>Acta mensual firmada, de las reuniones con el personal jurídico, del seguimiento a debidos procesos, con el fin de adelantar posibles sanciones a los contratistas por incumplimientos en los plazos de ejecución</t>
  </si>
  <si>
    <t>El Jefe de Contratos del Nivel Central y Unidades Militares elabora informe seguimiento trimestral de los procesos mediante las herramientas tecnológicas (plataformas de Colombia compra eficiente) que permitan controlar las fechas límites para el cumplimiento de los términos de Ley, de cada debido proceso</t>
  </si>
  <si>
    <t>El jefe de Contratos del Nivel Central y Unidades Militares realizará acta mensual firmada, de las reuniones con el personal jurídico, del seguimiento a debidos procesos, con el fin de adelantar posibles sanciones a los contratistas por incumplimientos en los plazos de ejecución.</t>
  </si>
  <si>
    <t>Incumplimiento en las obligaciones contractuales por parte del contratista</t>
  </si>
  <si>
    <t>*Incumplimiento en las metas
*investigaciones de carácter legal, disciplinarias y jurídicas
*Generación de hallazgos por parte de entes de control
*Afectación en la imagen
institucional</t>
  </si>
  <si>
    <t>Incumplimiento o imposición de multas derivados de debidos procesos dentro de las vigencias de amparos exigidos dentro de los contratos</t>
  </si>
  <si>
    <t xml:space="preserve">Posibilidad de perdida reputacional, por no iniciar incumplimiento o imposición de multas derivados de debidos procesos, dentro de las vigencias de los amparos exigidos dentro del contrato </t>
  </si>
  <si>
    <t>Acta trimestral firmada, de la revisión de la aplicación de los procedimientos y normatividad vigente, con el propósito de establecer seguimiento que indique el cumplimiento a lo establecido en el proceso de contratación</t>
  </si>
  <si>
    <t>El Jefe de Contratos del Nivel Central y Unidades Militares, realizará trimestralmente acta firmada, de socialización de los procedimientos de estructuración de la gestión Contractual.</t>
  </si>
  <si>
    <t>El jefe de contratos del nivel central y Unidades Militares, realizará trimestralmente acta firmada, de la revisión de la aplicación de los procedimientos y normatividad vigente, con el propósito de establecer seguimiento que indique el cumplimiento a lo establecido en el proceso de contratación</t>
  </si>
  <si>
    <t>Incumplimiento de la normatividad contractual, debido a la falta de aplicabilidad en la reglamentación vigente</t>
  </si>
  <si>
    <t>*Generación de hallazgos por parte de entes de control
*investigaciones de carácter legal, disciplinarias y jurídicas</t>
  </si>
  <si>
    <t>Posibilidad de afectación reputacional por incumplimiento de la normatividad contractual, debido a la falta de aplicabilidad en la reglamentación vigente, que puede inducir a posibles hallazgos por entes de control</t>
  </si>
  <si>
    <t>Cumplimiento meta de compromisos de adquisición bienes y servicios e Inversión 
 Cumplimiento meta de obligaciones de adquisición bienes y servicios e Inversión</t>
  </si>
  <si>
    <t>10 días</t>
  </si>
  <si>
    <t xml:space="preserve">Jefe Financiero </t>
  </si>
  <si>
    <t>Acta de socialización al personal del área financiera respecto al cumplimiento de los procedimientos y las políticas financieras con el propósito de evitar hallazgos por parte de los entes de control</t>
  </si>
  <si>
    <t>El Jefe Financiero nivel central y Unidades Militares, coordinará las actas de socialización trimestrales con el personal del área financiera respecto del comportamiento ético de los funcionarios públicos en ejercicio de sus funciones.</t>
  </si>
  <si>
    <t>El Jefe Financiero de las Unidades Militares y nivel central coordinará Trimestralmente, acta de socialización al personal del área financiera respecto al cumplimiento de los procedimientos y las políticas financieras con el propósito de evitar hallazgos por parte de los entes de control</t>
  </si>
  <si>
    <t>Incumplimiento de la normatividad financiera</t>
  </si>
  <si>
    <t>Falta de alineación de normatividad y ejecución financiera vigente</t>
  </si>
  <si>
    <t>Alteración en  la normativa que obliga a la modificación de los procedimientos y la  posible incurrencia en sanciones legales o administrativas, pérdidas financieras significativas por el incumplimiento de leyes y regulaciones normativas internas.</t>
  </si>
  <si>
    <t>Posibilidad de afectación reputacional por incumplimiento de la normatividad financiera, debido a falta de alineación de normatividad y ejecución financiera vigente</t>
  </si>
  <si>
    <t>DIFIN</t>
  </si>
  <si>
    <t>Acta el seguimiento a los Oficios respuesta a la retroalimentación realizada de los aspectos ambientales evaluados a las UMA</t>
  </si>
  <si>
    <t xml:space="preserve">El Jefe de la Sección Seguimiento Ambiental del nivel central (CEGEA), realizará de forma cuatrimestral el Acta de consolidación de las acciones realizadas por las Unidades para dar respuesta a la retroalimentación de los indicadores de Gestión Ambiental.  </t>
  </si>
  <si>
    <t>Jefe Sección Programas y Proyectos Ambientales</t>
  </si>
  <si>
    <t>Cuatrimestral</t>
  </si>
  <si>
    <t>El Jefe de la Sección Programas y Proyectos Ambiental del nivel central (CEGEA), realizará socialización trimestral  (Captura de pantalla correo Outlook) , con el propósito brindar información en temas ambientales a las Unidades que permitan prevenir la acciones en contra de la calidad ambiental en el cumplimiento de la misión.</t>
  </si>
  <si>
    <t>El Jefe Sección Seguimiento Ambiental del nivel central (CEGEA) verificará y controlará cuatrimestralmente, por medio de un acta el seguimiento a los Oficios respuesta a la retroalimentación realizada de los aspectos ambientales evaluados a las UMA, con el propósito de identificar las acciones tomadas en caso de presentarse un incumplimiento de actividades de gestión ambiental o daño o afectación al medio ambiente por acción u omisión de una actividad realizada por un funcionario.</t>
  </si>
  <si>
    <t>Ejecución de administración de  procesos, 
Talento Humano</t>
  </si>
  <si>
    <t xml:space="preserve">Fallas en los procedimientos ordenados en la implementación de la gestión ambiental en las UMAs y normativa aplicable.
</t>
  </si>
  <si>
    <t>Deterioro grave a los recursos naturales renovables o al medio ambiente en general.</t>
  </si>
  <si>
    <t>Fallas en procedimientos ejecutados por funcionarios  en el desarrollo de actividades diarias por incumplimiento de lineamientos internos en medio ambiente y marco normativo, que pueda producir deterioro grave a los recursos naturales renovables o al medio ambiente en general.</t>
  </si>
  <si>
    <t>Posibilidad de afectación reputacional por errores en procedimientos realizados por funcionarios en omisión al marco normativo ambiental y las directrices emitidas por la entidad en este ámbito.</t>
  </si>
  <si>
    <t>Índice integral de capacidad de preservación y protección de la fuerza</t>
  </si>
  <si>
    <t>Inmediato</t>
  </si>
  <si>
    <t>Comandante Grupo Seguridad y Defensa de Bases, Comandante Escuadrón Seguridad y Defensa de Bases, Jefe Jefatura Seguridad y Defensa de Bases</t>
  </si>
  <si>
    <t>Comandante Sección Planeamiento Operacional</t>
  </si>
  <si>
    <t>Formato de prueba al sistema de protección del CF-PAEC GA-JESED-FR-082.</t>
  </si>
  <si>
    <t>El Jefe de la Sección Planeamiento Operacional, trimestralmente elabora la evaluación del sistema de protección del CF-PAEC, a través del diligenciamiento del formato de evaluación del sistema de protección GA-JESED-FR-139.</t>
  </si>
  <si>
    <t>El Jefe de la Sección Planeamiento Operacional, mensualmente ejecutara una prueba de efectividad al sistema de protección del CF-PAEC. De acuerdo a lo establecido en el formato de pruebas de efectividad GA-JESED-FR-082.</t>
  </si>
  <si>
    <t>Formato Informe Operacional GA-JESED-FR-066</t>
  </si>
  <si>
    <t>El Jefe de la Sección Planeamiento Operacional, semestralmente elabora formato GA-JESED-FR-106 del plan de protección al CF-PAEC al personal militar orgánico del Grupo o Escuadrón de seguridad y defensa.</t>
  </si>
  <si>
    <t>El Jefe de la Sección Planeamiento Operacional, mensualmente ejecutara  operaciones de seguridad y defensa para la protección del CF-PAEC. De acuerdo con el estudio de seguridad o apreciación de situación, que establece las vulnerabilidades del sistema y ordena el planeamiento y ejecución de operaciones de seguridad y defensa con formato informe operacional GRUSE/ESDEB GA-JESED-FR-066</t>
  </si>
  <si>
    <t>Daños a activos fijos / atentados, vandalismo, orden público</t>
  </si>
  <si>
    <t>Reputacional y económico</t>
  </si>
  <si>
    <t>Vulneración del sistema de protección del componente físico del poder aéreo espacial y ciberespacial (CF-PAEC)</t>
  </si>
  <si>
    <t>Ataque, atentado o acción delictiva de agentes externos</t>
  </si>
  <si>
    <t>Vulneración del sistema de protección del componente físico del poder aéreo espacial y ciberespacial (CF-PAEC), debido a ataque, atentado o acción delictiva de agentes externos.</t>
  </si>
  <si>
    <t>Posibilidad de afectación económica y reputacional por vulneración del sistema de protección del componente físico del poder aéreo espacial y ciberespacial (CF-PAEC), debido a ataque, atentado o acción delictiva de agentes externos.</t>
  </si>
  <si>
    <t>JESED</t>
  </si>
  <si>
    <t xml:space="preserve">Aumentar la disponibilidad de TICS
</t>
  </si>
  <si>
    <t>Según la complejidad y equipo afectado entre 30 min hasta el tiempo de entrega de equipos desde el exterior.</t>
  </si>
  <si>
    <t>DITEL,DIASO,DITAE,DISIE,SOTEC</t>
  </si>
  <si>
    <t>Entrega de informe, en caso de que la información sea de carácter no público solo se hará referencia al problema de manera general y se dará la ruta para que sea consultado en la respectiva dependencia.</t>
  </si>
  <si>
    <t>*Búsqueda de apoyo presupuestal en caso de un daño mayor y envío de un equipo de especialistas para solucionar el daño.
* Aplicaciones de planes de mantenimiento correctivo.</t>
  </si>
  <si>
    <t>Especialista Operacional Gestión de la Estrategia TIC del Centro Gobierno de TIC</t>
  </si>
  <si>
    <t>Oficio trimestral mediante el cual se informa el alistamiento de equipos TIC y Sistemas de información.</t>
  </si>
  <si>
    <t>El Especialista Operacional Gestión de la Estrategia TIC verificará  con oficio semestral de cumplimiento de las rutinas de mantenimiento de los equipos TIC y los Sistemas de Información de la Fuerza.</t>
  </si>
  <si>
    <t>El Especialista Operacional Gestión de la Estrategia TIC del Centro Gobierno de TIC, consolida trimestralmente por medio de oficio, la información general de las diferentes unidades del resultado del desarrollo de las rutinas de mantenimiento en los equipos TIC y sistemas de información en los cuales se refleja el alistamiento de los mismos.</t>
  </si>
  <si>
    <t>Daño de componentes; Caída de aplicaciones; Caída de redes; errores en programas.</t>
  </si>
  <si>
    <t>Falta de realización de rutinas de mantenimiento y falta de actualizaciones.</t>
  </si>
  <si>
    <t>Desgaste por tiempo de vida de componentes, actualización de funcionalidades.</t>
  </si>
  <si>
    <t>Fallas de equipos o software</t>
  </si>
  <si>
    <t>Equipos TIC y sistemas de información Estratégicos Institucionales pertenecientes a JETIC</t>
  </si>
  <si>
    <t>Indisponibilidad de los equipos TIC y de los sistemas de información estratégicos para llevar a buen termino el proceso de toma de decisiones en el desarrollo de operaciones multidimensionales</t>
  </si>
  <si>
    <t>Posibilidad de afectación económica y reputacional por desgaste en el  tiempo de vida de los componentes de hardware, debido a la falta de rutinas de mantenimiento</t>
  </si>
  <si>
    <t>JETIC</t>
  </si>
  <si>
    <t>1 día</t>
  </si>
  <si>
    <t>Subdirección de Aseguramiento Tecnológico</t>
  </si>
  <si>
    <t>Entrega de informe de gestión e instrucciones impartidas a las UMAS sobre la necesidad de mantener la última versión estable de los sistemas operativos no soportados por casa fabricante.</t>
  </si>
  <si>
    <t>Gestión para que el equipo de cómputo con sistema operativo obsoleto cuente con la última versión estable de dicho sistema operativo.</t>
  </si>
  <si>
    <t>Oficio cuatrimestral donde se evidencie la cantidad total de equipos reportados por las UMAS, detallando cuántos de éstos cuentan con sistemas operativos no soportados por casa fabricante.</t>
  </si>
  <si>
    <t>La Subdirección de Aseguramiento Tecnológico a través de los canales existentes, solicitará oficio  semestral en referencia a la actualización de la planta de equipos de cómputo de la FAC.</t>
  </si>
  <si>
    <t>El Subdirector subdirección de Aseguramiento Tecnológico, enviará a la JETIC  un reporte cuatrimestral con la cantidad de equipos de cómputo con el sistema operativo no soportado por la casa fabricante; de evidenciarse el incremento en la medición, se deberán originar las acciones para remediar la vulnerabilidad. Cuatrimestral se dejará evidencia de la medición basada en el informe PESI originado por las UMA.</t>
  </si>
  <si>
    <t>Tecnología y eventos externos.</t>
  </si>
  <si>
    <t>Constante actualización de la tecnología.</t>
  </si>
  <si>
    <t>Obsolescencia del hardware.</t>
  </si>
  <si>
    <t>*Grupos de APT.
*Ataques
*Malware en la red.
*Insiders</t>
  </si>
  <si>
    <t>Equipos de cómputo e información Institucional.</t>
  </si>
  <si>
    <t>Amenazas cibernéticas contra los equipos de cómputo Institucionales, originados por la obsolescencia en el sistema operativo e incompatibilidad con parches, actualizaciones y herramientas de seguridad</t>
  </si>
  <si>
    <t>Posibilidad de afectación económica y reputacional por obsolescencia que imposibilita la protección de los equipos de cómputo con las herramientas de seguridad de la información de la FAC, debido a la constante actualización de la tecnología</t>
  </si>
  <si>
    <t>2 horas</t>
  </si>
  <si>
    <t>Entrega de informe de gestión referente a las capacitaciones y socializaciones impartidas a los funcionarios y/o terceros.</t>
  </si>
  <si>
    <t>Se identifica el riesgo, se capacita a los funcionarios y se entregan evidencias a DISEI</t>
  </si>
  <si>
    <t>Oficio trimestral a la JETIC, relacionando los soportes de las campañas de sensibilización y comunicación realizadas al personal de funcionarios y terceros de la Institución con el fin de fortalecer el conocimiento en el Sistema de Gestión de Seguridad de la Información (SGSI) de la FAC</t>
  </si>
  <si>
    <t>La Subdirección de Gestión de Riesgo Tecnológico, realizará oficio semestral con la ejecución del Plan de Capacitación, sensibilización y comunicación de seguridad de la información código SVE GA-JETIC-PL-003, para la vigencia 2024</t>
  </si>
  <si>
    <t>El Subdirector de Gestión de Riesgo Tecnológico, enviará oficio trimestral a la JETIC, relacionando los soportes de las campañas de sensibilización y comunicación realizadas al personal de funcionarios y terceros de la Institución con el fin de fortalecer el conocimiento en el Sistema de Gestión de Seguridad de la Información (SGSI) de la FAC.</t>
  </si>
  <si>
    <t>Desconocimiento de las Políticas de Seguridad y Privacidad de la Información por parte de los funcionarios y terceros.</t>
  </si>
  <si>
    <t>Desconocimiento y/o incumplimiento a las Políticas de Seguridad y Privacidad de la Información por parte de los funcionarios y terceros.</t>
  </si>
  <si>
    <t xml:space="preserve">Afectación a los activos de información  </t>
  </si>
  <si>
    <t>Incumplimiento de las Políticas de Seguridad y privacidad de la Información.</t>
  </si>
  <si>
    <t>Recurso Humano</t>
  </si>
  <si>
    <t>Disponibilidad, Integridad y Confidencialidad de los Activos de Información que componen la infraestructura tecnológica de la FAC por falta de Capacitación, aplicación de malos procedimientos por indisciplina o desconocimiento  de parte de los Funcionarios y/o terceros con los activos de información de la institución a su cargo. Pudiendo causar con ello daños críticos al cumplimiento de los objetivos misionales y estratégicos de la FAC afectando su imagen, reputación y/o perdidas económicas</t>
  </si>
  <si>
    <t>Posibilidad de afectación económica y reputacional por  desconocimiento y/o incumplimiento de las políticas orientadas al SGSI de la FAC debido a la afectación a los activos de información</t>
  </si>
  <si>
    <t xml:space="preserve">Aumentar la disponibilidad de TICS
SUM(JETIC V1 Gestión TICS </t>
  </si>
  <si>
    <t>Entrega de informe de gestión realizado sobre el ataque cibernético.</t>
  </si>
  <si>
    <t>Bloqueo de sesión de usuarios, inhabilitación de UPS, cuarentena de equipos.</t>
  </si>
  <si>
    <t>Oficio  en el cual se informe la cantidad de ataques cibernéticos contra la plataforma tecnológica de la FAC.</t>
  </si>
  <si>
    <t xml:space="preserve">La Subdirección de Aseguramiento Tecnológico, realizará oficio  cuatrimestral para revisión y gestión en la configuración de los controles de seguridad informática administrados en las plataformas de seguridad </t>
  </si>
  <si>
    <t xml:space="preserve">El Subdirector de Aseguramiento Tecnológico, realizará un comparativo trimestral informando mediante oficio a la JETIC, el resultado del análisis de los reportes de las herramientas de seguridad que permita establecer la cantidad de ataques cibernéticos contra la plataforma tecnológica;  de evidenciarse un incremento en la medición, se deberán tomar las acciones para remediar los ataques y cerrar la brecha de seguridad. </t>
  </si>
  <si>
    <t>Procesos, talento humano, tecnología, infraestructura y eventos externos e internos.</t>
  </si>
  <si>
    <t>Fuga de información</t>
  </si>
  <si>
    <t>Falta de confidencialidad</t>
  </si>
  <si>
    <t>Sistemas de información Institucionales</t>
  </si>
  <si>
    <t>Falta cumplimiento de las políticas de seguridad de la información</t>
  </si>
  <si>
    <t>Posibilidad de afectación reputacional por falta confidencialidad de la Información debido a fuga de información</t>
  </si>
  <si>
    <t>Gestión de Apoyo</t>
  </si>
  <si>
    <t>Posibilidad efecto dañoso sobre recursos públicos por incumplimiento al seguimiento de la ejecución de los recursos de intendencia del personal militar y civil de la FAC, evidenciándose fallas en cada una de las etapas de los procesos contractuales</t>
  </si>
  <si>
    <t>Incumplimiento de la normatividad contractual, debido a la falta de aplicabilidad de los procedimientos y normatividad vigente</t>
  </si>
  <si>
    <t>El Comandante del Grupo Técnico de la Unidad Militar coordinará, envía de manera trimestral los informes de la evaluación del plan de calidad aeronáutico, donde se verifica los atributos de calidad de cada grupo o escuadrón.</t>
  </si>
  <si>
    <t>Omisión en la etapa contractual  por deficiencia en seguimiento de  evaluación o estudios de procesos contractuales ACOFA.</t>
  </si>
  <si>
    <t>RG-GA-001</t>
  </si>
  <si>
    <t>RG-GA-002</t>
  </si>
  <si>
    <t>RG-GA-003</t>
  </si>
  <si>
    <t>RG-GA-004</t>
  </si>
  <si>
    <t>RG-GA-005</t>
  </si>
  <si>
    <t>RG-GA--006</t>
  </si>
  <si>
    <t>RG-GA-007</t>
  </si>
  <si>
    <t>RG-GA-008</t>
  </si>
  <si>
    <t>RG-GA-009</t>
  </si>
  <si>
    <t>RG-GA-010</t>
  </si>
  <si>
    <t>RG-GA-011</t>
  </si>
  <si>
    <t>RG-GA-012</t>
  </si>
  <si>
    <t>RG-GA-013</t>
  </si>
  <si>
    <t>RG-GA-014</t>
  </si>
  <si>
    <t>RG-GA-015</t>
  </si>
  <si>
    <t>RG-GA-016</t>
  </si>
  <si>
    <t>RG-GA-017</t>
  </si>
  <si>
    <t>RG-GA-018</t>
  </si>
  <si>
    <t>RG-GA-019</t>
  </si>
  <si>
    <t>RG-GA-020</t>
  </si>
  <si>
    <t>RG-GA-021</t>
  </si>
  <si>
    <t>RG-GA-022</t>
  </si>
  <si>
    <t>RG-GA-023</t>
  </si>
  <si>
    <t>RG-GA-024</t>
  </si>
  <si>
    <t># DE PAGOS SIN SOPORTE MÉDICO 
META CERO</t>
  </si>
  <si>
    <t xml:space="preserve">Máximo 48 Horas </t>
  </si>
  <si>
    <t>Nivel Central:
JEFSA-SUBCO 
 DIMAE, CEOFA, DMEFA 
Nivel  Unidades
 Responsable: 
Unidades: CACOM1,
CACOM2, CACOM3,CACOM4, CACOM5, CACOM6, EMAVI, CATAM, CAMAN, GAORI, GACAS, GAAMA, GACAR</t>
  </si>
  <si>
    <t xml:space="preserve">Apertura de investigación o sanciones que hay lugar </t>
  </si>
  <si>
    <t xml:space="preserve">Tramitar acciones disciplinarias o investigaciones que haya lugar </t>
  </si>
  <si>
    <t>05/04/2024
05/07/2024
04/10/2024
31/12/2024</t>
  </si>
  <si>
    <t>Acta trimestral</t>
  </si>
  <si>
    <t>Realizar capacitación que trate de la excepcionalidad para pago por resolución por la Subdirección Financiera de JEFSA y Área Administrativa de ESM Y/O dependencia (Acta con listado de asistencia)</t>
  </si>
  <si>
    <t>Emitir lineamientos en contratación en salud por JEFSA, para evitar falencias en el proceso contractual (Anual 29 febrero 2024)
Realizar capacitación trimestral acerca de supervisión de bienes y servicios en salud por la Subdirección Contractual de JEFSA y Área Administrativa de ESM Y/O dependencia (Acta con listado de asistencia)</t>
  </si>
  <si>
    <t xml:space="preserve">Falencias en la supervisión y gestión financiera de la Unidad </t>
  </si>
  <si>
    <t>Económica y reputacional</t>
  </si>
  <si>
    <t xml:space="preserve">Pagos de servicios sin soportes de autorizaciones médicas, auditoría médica, referencia y contrarreferencia </t>
  </si>
  <si>
    <t xml:space="preserve">Pagos dobles de una misma factura
Pagos sin soportes
</t>
  </si>
  <si>
    <t>Proceso</t>
  </si>
  <si>
    <t>Hace referencia en realizar efectuar pagos de facturas sin prestación de servicios.</t>
  </si>
  <si>
    <t xml:space="preserve">Posibilidad de efecto dañoso sobre los recursos públicos, por falencias en la supervisión de bienes y servicios en salud, una vez se encuentre perfeccionado y se hayan cumplido todos los requisitos de ejecución del contrato   </t>
  </si>
  <si>
    <t>JEFSA</t>
  </si>
  <si>
    <t># DE REQUERIMIENTOS DE DEVOLUCIÓN DE IVA Y REINTEGRO AL TESORO NACIONAL
META CERO</t>
  </si>
  <si>
    <t>Canalización inmediata por medios oficiales de la Fuerza a los contratista para devolución y reintegro al Tesoro nacional</t>
  </si>
  <si>
    <t xml:space="preserve">Se solicita al proveedor la devolución y reintegro al Tesoro Nacional del IVA </t>
  </si>
  <si>
    <t xml:space="preserve">Informe trimestral de los bienes y servicios exentos y excluidos de IVA </t>
  </si>
  <si>
    <t>De acuerdo asignación presupuestal, identificar que bienes y servicios están exentos y excluidos de IVA 
(Acta General de verificación, trimestral )</t>
  </si>
  <si>
    <t xml:space="preserve">Ausencia de conocimiento de los bienes y servicios exentos y excluidos de IVA.
Cotizaciones y estudios de mercado con IVA  a bienes y servicios exentos y excluidos de IVA </t>
  </si>
  <si>
    <t>Falencias o ausencia de conocimiento de los bienes y servicios exentos y excluidos de IVA, que genera sobrecostos o pagos que no representan beneficio público</t>
  </si>
  <si>
    <t xml:space="preserve">Pago de IVA a contratistas a bienes exentos y excluidos de IVA </t>
  </si>
  <si>
    <t xml:space="preserve">Hace referencia a que se generen pagos de IVA a contratistas, por bienes y servicios exentos y excluidos de IVA </t>
  </si>
  <si>
    <t>Posibilidad de efecto dañoso sobre los recursos públicos, por sobre costos en contrato de la entidad, a causa del pago de IVA por compra de bienes y servicios exentos y excluidos de IVA</t>
  </si>
  <si>
    <t>Numero de ítems gestionados con radios + Número de ítems al Servicio + Número de ítems sin gestión con fecha menos a series meses de vencimiento/ total número de ítems semaforizados en rojo. (Trimestral)</t>
  </si>
  <si>
    <t xml:space="preserve">Máximo 24 Horas </t>
  </si>
  <si>
    <t>Nivel Central
Responsable: JEFSA por: DIMAE, CEOFA.
DMEFA 
Nivel  Unidades
 Responsable: 
Unidades: CACOM1,
CACOM2, CACOM3,CACOM4, CACOM5, CACOM6, EMAVI, CATAM, CAMAN, GAORI, GACAS, GAAMA, GACAR</t>
  </si>
  <si>
    <t>Canalización inmediata de acuerdo a instructivo baja de activos fijos y elementos de consumo JEFSA y posteriormente Efectuar acciones disciplinarias a que haya lugar</t>
  </si>
  <si>
    <t>Se procede a Implementar lo dispuesto en el GH-JEFSA-INS-005 INSTRUCTIVO DE BAJA DE ACTIVOS FIJOS
Y ELEMENTOS DE CONSUMO - JEFSA. Sobre las actividades que deben realizar y las evidencias que sustenten las gestiones del almacenista con relación a los insumos. y posteriormente Efectuar acciones disciplinarias a que haya lugar</t>
  </si>
  <si>
    <t>JEFSA DIMAE, CEOFA.
DMEFA 
Unidades: CACOM1,
CACOM2, CACOM3,CACOM4, CACOM5, CACOM6, EMAVI, CATAM, CAMAN, GAORI, GACAS, GAAMA, GACAR</t>
  </si>
  <si>
    <t xml:space="preserve">Entregable nivel central ( JEFSA (DIMAE- CEOFA-) y DMEFA) y Unidades: formato (GH-JEFSA-FR-144) por parte del Almacenista. </t>
  </si>
  <si>
    <t>Efectuar la implementación y control de la guía GH-JEFSA-GUI-006 GUIA PARA EL MANEJO DE MEDICAMENTOS, BIOLÓGICOS, E INSUMOS MEDICO QUIRÚRGICOS, ODONTOLÓGICOS, REACTIVOS DE LABORATORIO E IMAGENOLOGÍA DE LOS ESTABLECIMIENTOS DE SANIDAD MILITAR. Manteniendo actualizado formato GH-JEFSA-FR-144 por parte del Almacenista. 
ENTREGABLE TRIMESTRAL: Formato actualizado esta información la entrega el almacenista a planeación para cargue en la SVE</t>
  </si>
  <si>
    <t>Dentro de las selectivas realizadas al almacén mensualmente bajo el formato de selectiva No GA-JELOG-FR-191 en el nivel central y las Unidades, el auditor deberá realizar un acta general donde deje evidencia del anterior formato y la verificación de los insumos medico quirúrgicos, odontológicos, reactivos de laboratorio e imagenología, acuerdo al formato (GH-JEFSA-FR-144) llevado por los almacenistas y la semaforización física de los insumos almacenados en el almacén, mencionada información (GH-JEFSA-FR-144) deberá ser suministrada al auditor por el almacenista, y el auditor se centrará en verificar los insumos con menos de 1 año para su vencimiento e indagará y dejara evidencia en el acta sobre la gestión del almacenista para minimizar el riesgo de vencimiento.
ENTREGABLE MENSUAL: Acta general donde  se evidencie los soportes de los formatos GA-JELOG-FR-191 y GH-JEFSA-FR-144,  ESTO LO ENTREGA EL auditor que hace la selectiva.</t>
  </si>
  <si>
    <t>Debilidad en el proceso de planeación para adquisición y distribución de los insumos para los distintos ESM de la JEFSA. 
Bajo conocimiento de la gestión de los insumos médico quirúrgicos, odontológicos, reactivos de laboratorio e imagenología.</t>
  </si>
  <si>
    <t>Vencimiento o daños de los insumos medico quirúrgicos, odontológicos, reactivos de laboratorio e imagenología.</t>
  </si>
  <si>
    <t>Multas o sanciones y reputacional respecto a la imagen institucional</t>
  </si>
  <si>
    <t>Debilidad en la  gestión de los insumos médico quirúrgicos, odontológicos, reactivos de laboratorio e imagenología.</t>
  </si>
  <si>
    <t>Posibilidad de afectación económica por multas o sanciones y reputacional respecto a la imagen institucional, debido Vencimiento o daños de los insumos medico quirúrgicos, odontológicos, reactivos de laboratorio e imagenología. (JEFSA-ESM)</t>
  </si>
  <si>
    <t xml:space="preserve">Porcentaje de usuarios de primera infancia (de  0  a 5 año de edad) que cuentan con una valoración integral RPMS
Porcentaje de usuarios de infancia (de  6  a 11 año de edad)  que cuentan con una valoración integral RPMS
Porcentaje de usuarios de adolescencia (de 12 a 17 años de edad) que cuentan con una valoración integral RPMS
Porcentaje de usuarios de juventud (de 18 a 28 años de edad) que cuentan con una valoración integral RPMS
Porcentaje de usuarios de adultez  (de 29 a 59 años de edad) que cuentan con una valoración integral RPMS
RPMS
Porcentaje de usuarios de vejez ( de 60 y más años de edad) que cuentan con una valoración integral RPMS
</t>
  </si>
  <si>
    <t>Máximo 48 Horas</t>
  </si>
  <si>
    <t>JEFSA-DISSA
 DMEFA SUSEA
ESM</t>
  </si>
  <si>
    <t>Reporte Gestión del riesgo Canalización inmediata a Ruta Atención Integral en Salud</t>
  </si>
  <si>
    <t xml:space="preserve">Canalización inmediata a RIA  en caso de identificación de paciente de alto riesgo en informe de avance de implementación de MATIS, Reporte Gestión del riesgo </t>
  </si>
  <si>
    <t>30/04/2024
31/07/2024
31/10/2024
31/01/2025</t>
  </si>
  <si>
    <t>JEFSA-DISSA
  DMEFA -SUSEA
ESM</t>
  </si>
  <si>
    <t xml:space="preserve">Establecer estrategias para el cumplimiento de las Rutas integrales de atención en salud JEFSA y ESM  
</t>
  </si>
  <si>
    <t>El líder del MATIS-RIAS de JEFSA y de los ESM realizan seguimiento permanente al cumplimiento de las metas emitidas por DIGSA-JEFSA de las rutas integrales de atención en salud, de manera trimestral  elaboran  informe de cada una de las rutas. 
Entregable: Acta informe JEFSA y ESM</t>
  </si>
  <si>
    <t>Atención inoportuna en la prestación de servicios de salud de acuerdo con el MATIS (Modelo de Atención Integral en Salud)</t>
  </si>
  <si>
    <t xml:space="preserve">Pérdida de continuidad en la atención. 
Aumento de la carga de la enfermedad 
Desviación de recursos destinados a prevención hacia curación de enfermedad lo que aumenta el costo en salud </t>
  </si>
  <si>
    <t>Insatisfacción de los usuarios que podrían  generar una denuncia ante los entes reguladores y afectar la imagen institucional</t>
  </si>
  <si>
    <t xml:space="preserve">Hace referencia a que factores como la falta de integración entre el Modelo de Atención Integral en Salud y las Rutas integrales de Atención en Salud, debilidad en  la caracterización, seguimiento y gestión del riesgo en salud de los usuarios  adscritos a la FAC, pueden generar una atención inoportuna en la prestación de servicios de salud de acuerdo al MATIS, generando afectación reputacional a la imagen institucional así como económica por multas o sanciones. </t>
  </si>
  <si>
    <t>Posibilidad de afectación económica y reputacional, por multas o sanciones, debido  a la atención inoportuna en la prestación de servicios de salud de acuerdo con el MATIS (Modelo de Atención Integral en Salud)</t>
  </si>
  <si>
    <t>Cumplimiento de la oferta educativo en entrenamiento fisiológico de Cámara de Altura.
Número total de Cursos Abiertos  por trimestre en el Siefa en el transcurso del trimestre evaluado /  Número de Cursos cerrados por Trimestre en el Siefa, DIMAE-SUCAE no reprogramo entrenamientos programados para el trimestre</t>
  </si>
  <si>
    <t>JEFSA-DIMAE</t>
  </si>
  <si>
    <t xml:space="preserve">plan choque reajustando la programación con personal entrenado  disponible </t>
  </si>
  <si>
    <t xml:space="preserve">Realizar la reprogramación del vuelo cancelado en un termino no mayor a un día y realizar plan choque reajustando la programación con personal entrenado  disponible  </t>
  </si>
  <si>
    <t>Cuadro en Excel con la programación personal administrativo logístico de la JEFSA, FIRMADO POR EL DIRECTIOR y Pantallazo del SIEFA.</t>
  </si>
  <si>
    <t xml:space="preserve">JEFSA realiza  la programación con personal administrativo logístico de la JEFSA, previo entrenamiento.
</t>
  </si>
  <si>
    <t xml:space="preserve">El Director DIMAE  designa trimestralmente el personal que va a realizar el entrenamiento fisiológico cada mes y así realizar  programación  de entrenamiento de cámara de altura con personal de salud guarnición de Bogotá, dejando como evidencia cuadro Excel FIRMADO POR EL DIRECTOR DIMAE con la programación. </t>
  </si>
  <si>
    <t>Atención inoportuna de los requerimientos de entrenamiento en fisiología aeroespacial</t>
  </si>
  <si>
    <t xml:space="preserve">Falta de talento humano capacitado necesario para realizar  el entrenamiento en  fisiología aeroespacial </t>
  </si>
  <si>
    <t>Cancelación de vuelos de cámara hiperbárica y desorientador espacial que afecta el entrenamiento del personal operativo</t>
  </si>
  <si>
    <t xml:space="preserve">Factores como la falta de disponibilidad de equipos para el entrenamiento fisiológico, debilidad en la oferta en el entrenamiento de fisiología  aeroespacial, puede generar una atención inoportuna de requerimientos de entrenamiento en fisiología aeroespacial, generando afectación reputacional y económica, al no contar con talento humano con entrenamiento en fisiología aeroespacial. </t>
  </si>
  <si>
    <t xml:space="preserve">Posibilidad de afectación económica y reputacional por  falta de talento humano entrenado en fisiología aeroespacial,  debido a la  atención inoportuna de los requerimientos de entrenamiento en  fisiología aeroespacial </t>
  </si>
  <si>
    <t>Número de investigadores en la TOE de Ciencia y Tecnología(anualmente)</t>
  </si>
  <si>
    <t>Plazo no mayor a un mes luego de identificada la materialización</t>
  </si>
  <si>
    <t>JEAES - DICTI</t>
  </si>
  <si>
    <t xml:space="preserve">Plan de acción </t>
  </si>
  <si>
    <t>Identificar y priorizar los elementos del Sistema de SCTel que requieren de intervención y definir las acciones, roles y responsabilidades para su implementación.</t>
  </si>
  <si>
    <t>Anual</t>
  </si>
  <si>
    <t>JEAES - ESPECIALISTA OPERACIONAL INVESTIGACION  Y DESARROLLO</t>
  </si>
  <si>
    <t xml:space="preserve">Oficios </t>
  </si>
  <si>
    <t xml:space="preserve">Anualmente la  Dirección de Ciencia Tecnología e innovación, verificará los recursos Operacionales del SCTel. En caso de requerirse o evidenciar novedades realizará su actualización, de lo anterior realizará reporte y soportes asociados a la actualización o verificación realizada. </t>
  </si>
  <si>
    <t>Mayor</t>
  </si>
  <si>
    <t>El Especialista Operacional Investigación y Desarrollo  verificará semestralmente la ejecución y porcentaje de cumplimiento de las actividades planteadas para la vigencia 2023 con el fin de fortalecer las capacidades propias de cada Centro de Investigación y contribuir a la disminución de la dependencia tecnológica, dejando constancia de la revisión en la celda de observaciones del Plan Operacional de cada Centro, en caso de identificar novedades solicitará al Centro la corrección o complemento requerido</t>
  </si>
  <si>
    <t xml:space="preserve">Número de infraestructura de los centros capacidades como: (Equipos, materiales y simuladores)   </t>
  </si>
  <si>
    <t>Análisis causas de materialización</t>
  </si>
  <si>
    <t>Establecer las causas asociadas a la materialización del riesgo.</t>
  </si>
  <si>
    <t>Oficios y aplicaciones para la inversión en educación</t>
  </si>
  <si>
    <t xml:space="preserve">Semestralmente, el Director de Ciencia Tecnología e Innovación presenta las necesidades educativas y aplicaciones del personal vinculado al SCTel de acuerdo a los perfiles profesionales, laborales y requisitos de los cargos a ocupar en tal Sistema, para acceder a inversión en educación. De esto se tiene como evidencia oficios y formatos de aplicación.  </t>
  </si>
  <si>
    <t xml:space="preserve">El Especialista Operacional Investigación y Desarrollo verificará durante el I trimestre de la vigencia que el plan operacional de fortalecimiento de los Centros de Investigación, cuente con los criterios y lineamientos requeridos dejando constancia en comunicación vía Outlook. Cuando se presenten novedades en la estructuración de los planes, retroalimentará y asesorará al centro de investigación para su correcta formulación. </t>
  </si>
  <si>
    <t>Infraestructura tecnológica insuficiente u obsoleta</t>
  </si>
  <si>
    <t>Número de recursos Operacionales de Ciencia y Tecnología (anualmente)</t>
  </si>
  <si>
    <t>Oficio comunicación situación presentada</t>
  </si>
  <si>
    <t>Informar al Jefe de la Jefatura y líder del Proceso</t>
  </si>
  <si>
    <t>Oficio Solicitud</t>
  </si>
  <si>
    <t xml:space="preserve">La Dirección de Ciencia, Tecnología e Innovación, verificará las necesidades de talento humano requerido para el fortalecimiento del SCTel, realizando su consolidación y envío a JEPHU. 
</t>
  </si>
  <si>
    <t>El Especialista Operacional Investigación y Desarrollo verificará semestralmente el cumplimiento del instructivo GH-JEAES-INS-078  para identificar, vincular, capacitar, reconocer y estimular el talento humano vinculado al Sistema de Ciencia, Tecnología e Innovación de la Fuerza Aeroespacial Colombiana, lo anterior se evidenciará en los documentos de gestión desarrollados. En caso de novedades en su ejecución DICTI realizará las acciones  correctivas requeridas</t>
  </si>
  <si>
    <t>Insuficiente talento humano con los niveles de formación adecuados</t>
  </si>
  <si>
    <t xml:space="preserve">Insuficiencia de talento humano con nivel de formación
 adecuado </t>
  </si>
  <si>
    <t>Incremento de la dependencia tecnológica extranjera</t>
  </si>
  <si>
    <t xml:space="preserve">Hace referencia a la posibilidad de que factores como la insuficiencia de talento humano con niveles de formación adecuados y de infraestructura tecnológica requerida para el funcionamiento del Sistema de Ciencia Tecnología e Innovación,  se incremente la dependencia de tecnología extranjera, ocasionando afectación económica y reputacional  de la FAC.  </t>
  </si>
  <si>
    <t xml:space="preserve">Posibilidad de afectación económica, por el incremento de la dependencia tecnológica extranjera, debido a la insuficiencia de talento humano e infraestructura requerida  para desarrollar actividades de ciencia tecnología e innovación </t>
  </si>
  <si>
    <t>JEAES</t>
  </si>
  <si>
    <t>El responsable del control de la oferta educativa en cada Subdirección de DIEAF/DIEOA, realizará control mensual al cumplimiento de la oferta educativa para la totalidad de cursos programados, teniendo en cuenta que solo se reportarán los cursos los cuales tienen como FECHA REAL culminación dentro del mes a reportar, con el fin de verificar la ejecución de la oferta educativa, dejando  constancia en el formato GH-JEAES-FR-637 de acuerdo con lo verificado en el aplicativo SIEFA. En caso de novedades solicitará a la Unidad Educativa informar y subsanar lo evidenciado.</t>
  </si>
  <si>
    <t>Deficiencias en la planeación y ejecución de la oferta educativa de la FAC</t>
  </si>
  <si>
    <t>UNIDADES EDUCATIVAS - JEFE SECCIÓN PLANEACIÓN</t>
  </si>
  <si>
    <t>Orden del día</t>
  </si>
  <si>
    <t xml:space="preserve">Nombrar mediante la orden del día de la Unidad, el personal de Instructores por cada una de las orientaciones (vuelo, capacitación, técnica, militar) que se desempeñarán semestralmente. </t>
  </si>
  <si>
    <t xml:space="preserve">Preventivo </t>
  </si>
  <si>
    <t>El jefe de la oficina de calidad educativa de cada IES FAC, durante el segundo semestre de la anualidad, reportará el soporte mediante acta del cuerpo  colegiado que disponga la IES, en donde se avala de manera previa la información a presentar al Ministerio de Educación Nacional – MEN, para la obtención o renovación de registro calificado y/o acreditación institucional o de programas según corresponda (de todos los procesos de la  vigencia). Esto con el fin de realizar una revisión y verificación del cumplimiento de las condiciones de calidad esperadas por el MEN, y acordes a la naturaleza y especificidad de las IES FAC.</t>
  </si>
  <si>
    <t>El jefe de la oficina de calidad educativa de cada IES FAC, al inicio de la vigencia reportará el cronograma de actividades a realizar acreditaciones/ Registros calificados, autoevaluaciones, fechas seguimiento planes de mejoramiento), con el fin de establecer organizar, planear y desarrollar los compromisos derivados de los procesos de calidad del Ministerio de Educación Nacional (programas e institución). El entregable anual esperado es el cronograma avalado por la IES.</t>
  </si>
  <si>
    <t>JEAES - ESPECIALISTA PROGRAMAS DE CAPACITACIÓN</t>
  </si>
  <si>
    <t>Programación Seminario</t>
  </si>
  <si>
    <t xml:space="preserve">La Dirección de Entrenamiento Apoyo a la Fuerza de JEAES realizará semestralmente seminarios de capacitación a los instructores de inglés de la FAC dejando como evidencia la programación del seminario. </t>
  </si>
  <si>
    <t>Detectivo</t>
  </si>
  <si>
    <t>El responsable asignado en las IES realizará el proceso de autoevaluación de programas e institucional de acuerdo con la periodicidad de los registros calificados y/o acreditaciones, y emitirán informe semestral de avance de los planes de mejoramiento, de acuerdo con los criterios establecidos por JEAES DIESU.</t>
  </si>
  <si>
    <t>Falencias en los procesos de autoevaluación de acuerdo a la normatividad educativa</t>
  </si>
  <si>
    <t>Porcentaje de Cumplimiento oferta educativa educación superior</t>
  </si>
  <si>
    <t>DIEAF - DIEOA - DIESU</t>
  </si>
  <si>
    <t>Análisis de causas y plan de acción</t>
  </si>
  <si>
    <t>Determinar las causas de la materialización y establecer acciones que las subsanen y disminuyan los impactos</t>
  </si>
  <si>
    <t>Direcciones JEAES</t>
  </si>
  <si>
    <t>Reporte documentos actualizados o creados.</t>
  </si>
  <si>
    <t xml:space="preserve">JEAES verificará semestralmente las necesidades de actualización de la documentación del área educativa en la FAC (Tales como: Directivas, procedimientos, instructivos, guías, formatos), con el fin de contar con un soporte documental  sólido y alineado a las necesidades institucionales y condiciones del contexto.
</t>
  </si>
  <si>
    <t>El Director Entrenamiento Operaciones Aéreas,  presentará semestralmente a JEPHU para las Juntas de Autonomías las necesidades de asignación de instructores, con el fin de evitar que la falta de instructores interfiera con la ejecución de la oferta educativa. De lo anterior se reportará como evidencia los resultados generados en la Junta respecto a la asignación de instructores frente a las necesidades detectadas y el listado del personal asistente a la reunión.</t>
  </si>
  <si>
    <t xml:space="preserve">Debilidades en los procesos de autoevaluación  de los programas de educación superior </t>
  </si>
  <si>
    <t>Porcentaje de Cumplimiento oferta educativa entrenamiento apoyo a la fuerza en la FAC</t>
  </si>
  <si>
    <t>Listado de personal capacitado, Oficio</t>
  </si>
  <si>
    <t xml:space="preserve">JEAES con el objetivo de que el personal  que se desempeña como instructor mejore sus competencias para ejercer este rol, de manera trimestral verificará que el personal requerido realice el curso de instructor académico. De lo anterior, se dejará constancia mediante listado del personal capacitado así como el oficio emitido por ESUFA,  el personal que requiera el curso y no lo haya realizado, se deberá programar para su ejecución en el siguiente periodo. </t>
  </si>
  <si>
    <t>El Jefe de la Sección Planeación de las Unidades Educativas verifica si existe déficit de instructores/profesores (militares y/o civiles), se debe realizar una reunión con todos los escuadrones al inicio del trimestre para verificar los cursos programados y la disponibilidad de instructores, dejando constancia en un acta; si se evidencia déficit de instructores, se debe tomar acciones pertinentes para la disponibilidad de instructores alternos. Al finalizar el trimestre se debe diligenciar el cuadro Control Déficit Instructores, si durante la ejecución de los cursos se presentó alguna novedad que afectó la disponibilidad de instructores, se debe realizar acta con las acciones ejecutadas para subsanar la novedad. Lo anterior se reportará a JEAES (DIEOA y DIEAF) según la orientación de la Oferta Educativa.</t>
  </si>
  <si>
    <t>Déficit de instructores</t>
  </si>
  <si>
    <t>Deficiencias en la planeación y ejecución de la oferta educativa institucional</t>
  </si>
  <si>
    <t>Pérdida de la capacidad para prestar el servicio educativo en la FAC</t>
  </si>
  <si>
    <t>Corresponde a la posibilidad de que por deficiencias en la planeación y ejecución de la oferta educativa, así como falencias en los procesos de autoevaluación en el caso de programas de educación superior, la Institución pierda la capacidad para prestar el servicio educativo, ocasionando afectación económica y reputacional.</t>
  </si>
  <si>
    <t>Posibilidad de afectación  reputacional y económica, por  la pérdida de la capacidad para prestar el servicio educativo en la FAC, debido a deficiencias en la planeación y ejecución de la oferta educativa institucional o debilidades en los procesos de autoevaluación de los programas de educación superior.</t>
  </si>
  <si>
    <t xml:space="preserve">SUBDIRECTOR SEGURIDAD SOCIAL
</t>
  </si>
  <si>
    <t xml:space="preserve">Procedimiento actualizado versión 3 y circular de la socialización a todas las UMAS del procedimiento.
</t>
  </si>
  <si>
    <t xml:space="preserve">Realizar Mesa de trabajo entre las Direcciones de JERLA para revisar y redefinir el procedimiento GH-JERLA-PR-024 versión 3 y socializar a todas las UMAS del procedimiento actualizado.
</t>
  </si>
  <si>
    <t>Moderado</t>
  </si>
  <si>
    <t>La DISAT - SUMEP debe informar a la Sección de seguridad y Salud en el Trabajo de la Unidad mediante correo electrónico cuando el personal alcance los días de ausentismo prolongado, la SUMEP enviará un correo al Jefe de SST de la UMA, con copia a SUSES, recordando que debe continuar el trámite administrativo correspondiente.</t>
  </si>
  <si>
    <t>Ausencia de responsables claros en la cadena de control, análisis, seguimiento y notificación de los casos de ausentismo laboral así como falencias en las revisiones periódicas al procedimiento, flujo de información y puntos de control.</t>
  </si>
  <si>
    <t xml:space="preserve">Cada vez que la Unidad requiera realizar un encargo de personal militar, el responsable asignado en el DEDHU tramita la solicitud a través del aplicativo Power APPS, el Especialista Operacional Proyección Talento Humano de cada área funcional verifica que la solicitud cumpla con los parámetros establecidos y/o necesidades institucionales para realizar la aprobación, una vez autorizada se tramita el acto administrativo, en caso de no cumplir con los requisitos, la solicitud es rechazada. De lo anterior queda constancia en el aplicativo. </t>
  </si>
  <si>
    <t>Encargos sin el cumplimiento de los requisitos</t>
  </si>
  <si>
    <t>Cada vez que se requiera tramitar traslado de personal militar, el Especialista Operacional Proyección Talento Humano, verifica el cumplimiento de los requisitos y/o necesidades institucionales, para remitir finalmente los trámites a JERLA, con el fin de elaborar el acto administrativo correspondiente. De lo anterior, se deja evidencia en oficio.</t>
  </si>
  <si>
    <t xml:space="preserve">JEPHU - JERLA </t>
  </si>
  <si>
    <t>Procedimiento actualizado</t>
  </si>
  <si>
    <t>Identificación de controles vulnerados y definición de ajustes requeridos para los mismos</t>
  </si>
  <si>
    <t>JERLA - SUBDIRECCIÓN MILITARES</t>
  </si>
  <si>
    <t>Correo Electrónico</t>
  </si>
  <si>
    <t>Una vez la Jefatura de Potencial Humano entregue el plan traslados autorizado por COFAC, la Jefatura de Relaciones Laborales verificará que los traslados proyectados cumplan con los requisitos establecidos en la TOE vigente, relacionados con dotación, grado, cuerpo y especialidad, e informará las novedades a la Jefatura de Potencial Humano para ser subsanadas, con el fin de continuar con la formalización de los mismos.</t>
  </si>
  <si>
    <t>Cada vez que se requiera tramitar una situación administrativa de personal, el responsable asignado en la Subdirección de Civiles verifica el cumplimiento de los requisitos para la elaboración del acto administrativo, en caso de evidenciar novedades se informará al solicitante. De lo anterior se dejará evidencia en oficio.</t>
  </si>
  <si>
    <t xml:space="preserve">Expedición de certificaciones sin el cumplimiento de los requisitos para el trámite de las situaciones administrativas de personal </t>
  </si>
  <si>
    <t xml:space="preserve">Previa elaboración del plan traslados, los Especialistas Operacionales proyección talento humano verifican semestralmente el cumplimiento de requisitos del personal propuesto para traslados y/o necesidades institucionales, junto con las diferentes áreas funcionales. El producto resultante de esta verificación es presentado a los Comandos, JEMFA y COFAC, para la respectiva autorización. 
</t>
  </si>
  <si>
    <t>Modificación de la destinación del personal en la Unidad de destino</t>
  </si>
  <si>
    <t xml:space="preserve">Oficios, actos administrativos. </t>
  </si>
  <si>
    <t xml:space="preserve">Identificar, subsanar y tramitar implicaciones laborales, legales y económicas </t>
  </si>
  <si>
    <t>JEFE DEDHU UMAS</t>
  </si>
  <si>
    <t>Acta de selectiva</t>
  </si>
  <si>
    <t xml:space="preserve">Los Departamentos de Personal, realizarán selectiva para la verificación de la concordancia entre el nombramiento del personal militar y el acta de posesión, adicionalmente se verificará el cargo de acuerdo con la TOE y manual de funciones, dejando constancia en acta. En caso de detectar novedades identificará el caso y subsanará de acuerdo con la normatividad vigente. </t>
  </si>
  <si>
    <t>El responsable asignado en DIPER (SUMIL y SUCIV)  de la elaboración de los actos administrativos correspondientes a licencias remuneradas, no remuneradas, especiales, cada vez que se publique el acto administrativo en el Docuware, emitirá radiograma a la Unidad donde labora el funcionario solicitante para notificación del mismo con copia a nómina, una vez notificado el soporte será enviado a JERLA. De lo anterior, se registrará la información del funcionario, de la licencia, radiogramas, oficio reporte notificación, en el cuadro control de notificaciones de la Subdirección correspondiente.</t>
  </si>
  <si>
    <t>Deficiencias en el control de las licencias autorizadas</t>
  </si>
  <si>
    <t>Subdirector Seguridad Social
Subdirector de Medicina Preventiva y del Trabajo.</t>
  </si>
  <si>
    <t>Oficio por el sistema de gestión documental solicitando la inactivación de la nómina y el oficio a la UMA solicitando la apertura de la investigación disciplinaria por el incumplimiento al procedimiento</t>
  </si>
  <si>
    <t>Realizar la inactivación de la nómina de forma inmediata del funcionario que tiene ausentismo prolongado solicitando la apertura de investigación disciplinaria por el incumplimiento al procedimiento establecido.</t>
  </si>
  <si>
    <t>Subdirector Seguridad Social</t>
  </si>
  <si>
    <t>Circular de la socialización a todas las UMAS del procedimiento.</t>
  </si>
  <si>
    <t>Socializar a todas las UMA del procedimiento GH-JERLA-PR-024 actualizado.</t>
  </si>
  <si>
    <t>El Técnico Asesor Medicina Preventiva y del Trabajo, cada vez que el personal alcance los días de ausentismo prolongado (personal militar 90 días, personal civil 120, 180 días) informará a la Sección de Seguridad y Salud en el Trabajo de la Unidad mediante correo electrónico,  con copia a SUSES recordando que se debe continuar el trámite administrativo correspondiente. De lo anterior, se evidenciará el correo electrónico enviado, y se reportará el informe de notificaciones enviadas o no realizadas durante el trimestre.</t>
  </si>
  <si>
    <t xml:space="preserve"> Inadecuado control a los reportes de ausencias laborales por causa medica certificada.</t>
  </si>
  <si>
    <t>Oficios solicitud, nombramiento, acta de posesión</t>
  </si>
  <si>
    <t>Verificación, trámite y asignación del cargo de acuerdo con la normatividad vigente</t>
  </si>
  <si>
    <t xml:space="preserve">En caso de presentarse traslados de personal civil, los Departamentos de Desarrollo Humano, realizarán selectiva para la verificación de la concordancia entre la Resolución de nombramiento y acta de posesión, dejando constancia en acta. En caso de detectar novedades identificará el caso y subsanará de acuerdo con la normatividad vigente. </t>
  </si>
  <si>
    <t>Cada vez que la Unidad determine que requiere realizar un traslado interno de personal civil, el jefe inmediato deberá solicitar ante el DEDHU, se realicen los trámites administrativos correspondientes; a fin de que dicha solicitud sea elevada ante el CODEH y por intermedio de ese Comando se solicite autorización a COFAC, previa verificación del grado, cargo, TOE, modalidad de nombramiento y manual de funciones que se encuentre vigente, Dejando constancia en la comunicación de solicitud.</t>
  </si>
  <si>
    <t xml:space="preserve">Traslados Vs Modificaciones: 
N° de traslados realizados / modificaciones de traslados </t>
  </si>
  <si>
    <t>JEPHU - JERLA</t>
  </si>
  <si>
    <t>Actas de visitas de acompañamiento</t>
  </si>
  <si>
    <t>El personal de JERLA y JEPHU que participe en las visitas de acompañamiento verificará durante las mismas: traslados internos, cargos, nombramientos, encargos, dejando constancia en actas reportando durante el trimestre las visitas efectuadas. En caso de novedades la Unidad deberá realizar las correcciones requeridas para subsanarlas.</t>
  </si>
  <si>
    <t xml:space="preserve">Cada vez que la Unidad requiera realizar un traslado interno de personal militar, el responsable asignado en el DEDHU tramita la solicitud a través del aplicativo Power Apps, el Especialista Operacional Proyección Talento Humano de cada área funcional verifica que la solicitud cumpla con los parámetros establecidos y/o necesidades institucionales para realizar la aprobación, una vez autorizada se tramita el acto administrativo, en caso de no cumplir con los requisitos, la solicitud es rechazada. De lo anterior queda constancia en el aplicativo. </t>
  </si>
  <si>
    <t>Errores ejecución de los traslados internos.</t>
  </si>
  <si>
    <t>Trámite de situaciones administrativas de personal sin cumplimiento de los requisitos establecidos en la Ley.</t>
  </si>
  <si>
    <t>Reconocimiento y pago de factores prestacionales sin cumplimiento de los requisitos establecidos en la Ley</t>
  </si>
  <si>
    <t>Hace referencia a la posibilidad de que por factores como la expedición de certificaciones sin el cumplimiento de los requisitos para el trámite de las situaciones administrativas de personal, ejecución de traslados, encargos, así como la modificación de la destinación del personal en la Unidad de destino sin el cumplimiento de los requisitos y normativa vigente, trámite de licencias sin el respectivo control, ausencia de reporte de incapacidades para inactivación de nómina cuando amertie,ocasionando el reconocimiento y pago de factores prestacionales sin cumplimiento de los requisitos.</t>
  </si>
  <si>
    <t>Posibilidad de afectación reputacional y económica por el Reconocimiento y pago de factores prestacionales, debido al trámite de situaciones administrativas de personal sin cumplimiento de los requisitos establecidos en la Ley.</t>
  </si>
  <si>
    <t>JERLA- JEPHU</t>
  </si>
  <si>
    <t>RG-GH-001</t>
  </si>
  <si>
    <t>RG-GH-002</t>
  </si>
  <si>
    <t>ANÁLISIS
Riesgo Residual</t>
  </si>
  <si>
    <t>JIAEC</t>
  </si>
  <si>
    <t>Sostener, preservar y proteger el poder aéreo, espacial y ciberespacial.</t>
  </si>
  <si>
    <t>Posibilidad de pérdida reputacional y económica por acción deliberada con el fin  de  obstaculizar, retardar o impedir el cumplimiento de cualquier proceso  afectando las instalaciones, material o equipo, base de datos, soportes logísticos y  componentes del poder aéreo, espacial o ciberespacial  de la FAC.</t>
  </si>
  <si>
    <t>Acción deliberada con el fin de obstaculizar, retardar o impedir el cumplimiento de cualquier proceso en la Fuerza, considerando también aquellas acciones retrasen u omitan las funciones propias de un cargo para afectar su eficiencia y eficacia que afecten los componentes del poder aéreo, espacial o ciberespacial.</t>
  </si>
  <si>
    <t>Acción deliberada con el fin de obstaculizar, retardar o impedir el cumplimiento de cualquier proceso</t>
  </si>
  <si>
    <t>Afectando las instalaciones, material o equipo, base de datos, soportes logísticos y  componentes del poder aéreo, espacial o ciberespacial  de la FAC.</t>
  </si>
  <si>
    <t xml:space="preserve">Posibles comportamientos no éticos de los empleados </t>
  </si>
  <si>
    <t>El Subdirector Protección Estratégica de la Fuerza de la Dirección de Contrainteligencia realizará Prueba de Vulnerabilidad de acuerdo a lo ordenado en el Plan de Operaciones de Contrainteligencia con vigencia 2024 de forma trimestral.
Acta trimestral de la realización de los informes  de acuerdo a formato OA-JIAEC-FR-285  Resultado Pruebas de Vulnerabilidad de cada una de las Unidades Militares Aéreas. Así mismo, se debe  mencionar si materializó o no el riesgo de Sabotaje.</t>
  </si>
  <si>
    <t xml:space="preserve">Jefe Área Agencia Regional Seguridad Militar de la Subdirección Protección Estratégica de la Fuerza de la Dirección de Contrainteligencia.                               / Comandante Escuadrilla o  Elemento Operaciones de Contrainteligencia  de cada UMA´s, Realizara Prueba de Vulnerabilidad de acuerdo a lo ordenado en el Plan de Operaciones de Contrainteligencia con vigencia 2024 de forma trimestral.                                                  </t>
  </si>
  <si>
    <t xml:space="preserve">Acta trimestral donde se deje constancia de la realización del informe de acuerdo a formato OA-JIAEC-FR-285 y acta de retroalimentación con  Grupo o Escuadrón de Seguridad y Defensa de Bases de cada UMA´s o en su defecto con el Grupo al cual se le efectuó la Prueba de Vulnerabilidad, con el fin de retroalimentar las falencias detectadas y evitar la ocurrencia de un evento real. (Mencionado informe por ser un documento clasificado debe reposar en el GRUIA/ESCIN de las UMA´s).
Mencionar si materializó o no el riesgo de Sabotaje.
</t>
  </si>
  <si>
    <t>Jefe Área Agencia Regional Seguridad Militar de la Subdirección Protección Estratégica de la Fuerza de la Dirección de Contrainteligencia.                               /                                        Comandante Escuadrilla o  Elemento Operaciones de Contrainteligencia  de cada UMA´s.</t>
  </si>
  <si>
    <t>Actividades de recolección de información que permitan generar recomendaciones para mitigar la ocurrencia de un nuevo evento.
Acción Disciplinaria</t>
  </si>
  <si>
    <t>Informe de Contrainteligencia</t>
  </si>
  <si>
    <t xml:space="preserve">Subdirección Protección Estratégica de la Fuerza de la Dirección de Contrainteligencia. </t>
  </si>
  <si>
    <t>Posibilidad de pérdida reputacional  por amenazas, extorsión o sobornos recibidos por miembros de la FAC o terceros con vínculos directos a la fuerza, que cambien su actuar y permitan la materialización de un acto de sabotaje o fuga de información que goza de reserva legal, convirtiendo a la fuerza  en un blanco de oportunidad para agencias externas o grupos al margen de la ley.</t>
  </si>
  <si>
    <t>Amenazas, Extorsión o Sobornos recibidos por miembros de la Fuerza Aérea o terceros con vínculos directos a la Fuerza, que cambien su actuar y permitan la materialización de un acto de sabotaje o fuga de información que goza de reserva legal.</t>
  </si>
  <si>
    <t>Suplantación de identidad - Asalto a la oficina - Atentados, vandalismo, orden público</t>
  </si>
  <si>
    <t>El Jefe del Aérea de Credibilidad de la Subdirección Operaciones Contrainteligencia de la Dirección de Contrainteligencia realizara Evaluaciones Técnicas de Credibilidad en cumplimiento al Plan de Operaciones de Contrainteligencia 2024, en las diferentes Unidades Militares Aéreas de acuerdo al cronograma y se debe realizar un acta trimestral relacionando la cantidad de  controles de calidad realizados aleatoriamente a las Evaluaciones Técnicas de Credibilidad  hechas durante el lapso. Así mismo, se debe  mencionar si materializó o no el riesgo de Subversión.</t>
  </si>
  <si>
    <t>Realizar acta trimestral donde se mencione el cumplimiento de la realización de un Procedimiento especializado de Contrainteligencia.    (Mencionado informe por ser un documento clasificado debe reposar en el GRUIA/ESCIN de las UMA´s).Mencionar si materializó o no el riesgo de Subversión.</t>
  </si>
  <si>
    <t>Comandante Escuadrón o Escuadrilla de Contrainteligencia de cada UMA´s.</t>
  </si>
  <si>
    <t>Subdirección Operaciones Contrainteligencia de la Dirección de Contrainteligencia.</t>
  </si>
  <si>
    <t xml:space="preserve">Sostener, preservar y proteger el poder aéreo, espacial y ciberespacial                                                                                             </t>
  </si>
  <si>
    <t>Posibilidad de pérdida reputacional debido al uso de técnicas de espionaje para la obtención, empleo o revelación de datos o información que goza de reserva legal sin autorización.</t>
  </si>
  <si>
    <t xml:space="preserve">Es la actividad o conjunto de técnicas encubiertas, orientadas a obtener, emplear o revelar datos o información que goza de reserva legal (información clasificada, información calificada, sin importar su naturaleza, medio o lugar de almacenamiento u oficina productora) vulnerando los controles de seguridad de información existentes, por parte de personal de la institución o terceros, con el fin de lograr una ventaja por parte de la amenaza actual y potencial que afecte los componentes del poder aéreo, espacial y ciberespacial. </t>
  </si>
  <si>
    <t>Uso de técnicas de espionaje, a través de medios técnicos (grabadoras de voz, cámaras, celulares, entre otros), empleadas por el enemigo actual y potencial que buscan obtener información que goza de reserva legal, en áreas de realización de reuniones o donde se genere, manipule o almacene dicha información.
Difusión, almacenamiento o trámite, a través de medios o activos tecnológicos no autorizados, de información que goza de reserva legal que produzca la fuga de la misma y quede expuesta a personal no autorizado.</t>
  </si>
  <si>
    <t>Falta de conocimiento o la no aplicación de la Política de Seguridad y Privacidad de la Información, en la elaboración, tramite o almacenamiento de información que goza de reserva legal, por parte de los funcionarios de la Fuerza Aeroespacial Colombia o terceros con autorización a conocer o manipular información con reserva legal.</t>
  </si>
  <si>
    <t>El Jefe Área Protección y Detección de la Subdirección de Gestión de Seguridad de la Información de la Dirección de Contrainteligencia, realizará Inspecciones Técnicas a las instalaciones donde se realicen reuniones donde se divulgue información que goza de reserva legal, las inspecciones se realizarán mensualmente a la dependencia que se designe de acuerdo al cronograma de la Dirección de Contrainteligencia Aérea para el lapso 2024. Se debe dejar constancia en acta trimestral del cumplimiento de la programación de acuerdo al Plan de Contrainteligencia 2024,  en caso de no cumplir con lo estipulado en el cronograma se deberá expresar las razones y la reprogramación de la o las inspecciones pendientes de ese lapso, con el fin de cubrir la totalidad de Unidades Militares Aéreas entre el mes de enero a diciembre  de 2024.   Así mismo, se deberá mencionar si materializó o no el riesgo de Espionaje.</t>
  </si>
  <si>
    <t>Acta trimestral, donde se deje constancia de la realización del informe de retroalimentación a la Dependencia donde se realice la inspección, los hallazgos de las novedades encontradas y se darán recomendaciones adecuadas para la correcta aplicación de las Políticas de Seguridad y Privacidad de la Información, para evitar la fuga de la información. (Mencionado informe por ser un documento clasificado debe reposar en el GRUIA/ESCIN de las UMA´s).
Mencionar si materializó o no el riesgo de Espionaje.</t>
  </si>
  <si>
    <t>El Custodio de Seguridad de la Información del Grupo o Escuadrón de Inteligencia de cada UMA´s.</t>
  </si>
  <si>
    <t>Subdirección de Gestión de Seguridad de la Información de la Dirección de Contrainteligencia.</t>
  </si>
  <si>
    <t xml:space="preserve">El Jefe Área Protección y Detección de la Subdirección de Gestión de Seguridad de la Información de la Información de la Dirección de Contrainteligencia, realizara análisis, cada 3 meses, de los principales o más recurrentes eventos de seguridad de la información detectados por el software de Detección y Prevención de Fuga de la Información. Se dejará constancia en acta trimestral con datos estadísticos y recomendaciones realizadas a los principales o más recurrentes eventos de seguridad de la información para ese lapso.  Así mismo, se debe  mencionar si materializó o no el riesgo de Espionaje.
</t>
  </si>
  <si>
    <t>JEOES</t>
  </si>
  <si>
    <t>Posibilidad de pérdida reputacional por falta de participación y liderazgo de la FAC en temática espacial a nivel nacional, debido a la reducida inclusión de tecnologías espaciales para el desarrollo en temas de seguridad y defensa nacional.</t>
  </si>
  <si>
    <t>El riesgo se materializa en la no participación para ejercer el liderazgo, y así mismo en la no inclusión de tecnología espacial que permita el desarrollo en temas de seguridad y defensa nacional.</t>
  </si>
  <si>
    <t>Falta de participación y liderazgo de la FAC en temática espacial a nivel nacional.</t>
  </si>
  <si>
    <t>No inclusión de tecnología espacial que permita la perdida reputacional del liderazgo de la FAC en el ámbito espacial.</t>
  </si>
  <si>
    <t>Falta de capacitación, temas relacionados con el personal</t>
  </si>
  <si>
    <t>El JEFE DE LA JEFATURA DE OPERACIONES ESPACIALES, presidirá reunión en la cual se verificará trimestralmente a través de la SVE el cumplimiento del plan de actividades establecido por JEOES vigencia 2024. De no cumplirse la programación se analizarán las causas del incumplimiento con el fin de establecer las actividades que permitan el avance esperado; dejando la respectiva acta de la reunión con los compromisos y responsables de estos.</t>
  </si>
  <si>
    <t>El Jefe de la Jefatura de Operaciones Espaciales, monitoreará trimestralmente las actividades de temática espacial en escenarios nacionales y/o internacionales con el fin de determinar la participación en los mismos por parte de la FAC.</t>
  </si>
  <si>
    <t>Acta de la reunión</t>
  </si>
  <si>
    <t>Jefe Centro Gestión Espacial</t>
  </si>
  <si>
    <t xml:space="preserve">EL JEFE DE LA JEFATURA DE OPERACIONES ESPACIALES, convocará una reunión de carácter estratégico con el alto mando, con el fin de presentar estrategias para mantener el liderazgo de la institución en temática espacial a nivel nacional, esta reunión contará con la respectiva acta y compromisos ordenados por el alto mando. Lo anterior para generar la contingencia necesaria frente a una pérdida reputacional en temática espacial de la FAC.  </t>
  </si>
  <si>
    <t xml:space="preserve">Acta reunión estratégica.
</t>
  </si>
  <si>
    <t>El Jefe de la Jefatura de Operaciones Espaciales, trimestralmente realizará seguimiento a los proyectos asociados a tecnologías espaciales existentes dentro de la Fuerza con el fin de brindar apoyo técnico.</t>
  </si>
  <si>
    <t>RG-GH-003</t>
  </si>
  <si>
    <t>RG-GH-004</t>
  </si>
  <si>
    <t>RG-GH-005</t>
  </si>
  <si>
    <t>RG-GH-006</t>
  </si>
  <si>
    <t>RG-GH-007</t>
  </si>
  <si>
    <t>RG-GH-008</t>
  </si>
  <si>
    <t>RG-OA-001</t>
  </si>
  <si>
    <t>RG-OA-002</t>
  </si>
  <si>
    <t>RG-OA-003</t>
  </si>
  <si>
    <t>RG-OA-004</t>
  </si>
  <si>
    <t>Personal designado visitas de acompñamiento JERLA y JEPHU</t>
  </si>
  <si>
    <r>
      <t xml:space="preserve">01/01/2024 - 02/04/2024 </t>
    </r>
    <r>
      <rPr>
        <b/>
        <sz val="12"/>
        <color theme="1"/>
        <rFont val="Arial"/>
        <family val="2"/>
      </rPr>
      <t xml:space="preserve">I TRIMESTRE
</t>
    </r>
    <r>
      <rPr>
        <sz val="12"/>
        <color theme="1"/>
        <rFont val="Arial"/>
        <family val="2"/>
      </rPr>
      <t>01/04/2024 - 02/07/2024</t>
    </r>
    <r>
      <rPr>
        <b/>
        <sz val="12"/>
        <color theme="1"/>
        <rFont val="Arial"/>
        <family val="2"/>
      </rPr>
      <t xml:space="preserve"> II TRIMESTRE
</t>
    </r>
    <r>
      <rPr>
        <sz val="12"/>
        <rFont val="Arial"/>
        <family val="2"/>
      </rPr>
      <t>01/07/2024 - 30/09/2024</t>
    </r>
    <r>
      <rPr>
        <b/>
        <sz val="12"/>
        <color theme="1"/>
        <rFont val="Arial"/>
        <family val="2"/>
      </rPr>
      <t xml:space="preserve"> III TRIMESTRE
</t>
    </r>
    <r>
      <rPr>
        <sz val="12"/>
        <color theme="1"/>
        <rFont val="Arial"/>
        <family val="2"/>
      </rPr>
      <t>01/10/2024 - 31/12/2024</t>
    </r>
    <r>
      <rPr>
        <b/>
        <sz val="12"/>
        <color theme="1"/>
        <rFont val="Arial"/>
        <family val="2"/>
      </rPr>
      <t xml:space="preserve"> IV TRIMESTRE</t>
    </r>
  </si>
  <si>
    <r>
      <t xml:space="preserve">Es la actividad sistemática dirigida hacia las personas, con el fin de perturbar el ordenamiento social o moral, con el objetivo de trasformar el actuar y ética de un miembro de la </t>
    </r>
    <r>
      <rPr>
        <sz val="12"/>
        <rFont val="Arial"/>
        <family val="2"/>
      </rPr>
      <t>Fuerza Aeroespacial Colombiana</t>
    </r>
    <r>
      <rPr>
        <sz val="12"/>
        <color theme="1"/>
        <rFont val="Arial"/>
        <family val="2"/>
      </rPr>
      <t xml:space="preserve"> o a un tercero con vínculos directos a la Fuerza y que conlleve a afectar los componentes del poder aéreo, espacial o ciberespacial.</t>
    </r>
  </si>
  <si>
    <r>
      <t>* Carencia de principios y valores por parte de los miembros de la institución.
* Problemas económicos.
* Victimas del conflicto armado y vínculos indirectos con</t>
    </r>
    <r>
      <rPr>
        <sz val="12"/>
        <color rgb="FFFF0000"/>
        <rFont val="Arial"/>
        <family val="2"/>
      </rPr>
      <t xml:space="preserve">   </t>
    </r>
    <r>
      <rPr>
        <sz val="12"/>
        <rFont val="Arial"/>
        <family val="2"/>
      </rPr>
      <t>GAO-R, GAO-FAR, GAO-ELN  y GDO.
Convirtiendo a la Fuerza en un blanco de oportunidad para agencias externas o grupos al margen de la ley.</t>
    </r>
  </si>
  <si>
    <r>
      <t xml:space="preserve">El Comandante Escuadrón o Escuadrilla de Contrainteligencia de cada UMA´s Llevará a cabo actividades de recolección de información para la realización de un Procedimiento Especializado de Contrainteligencia que contribuya a la neutralización de la amenaza y que cumpla con el ciclo de inteligencia.                                                                  </t>
    </r>
    <r>
      <rPr>
        <b/>
        <sz val="12"/>
        <color theme="1"/>
        <rFont val="Arial"/>
        <family val="2"/>
      </rPr>
      <t>Periodo</t>
    </r>
    <r>
      <rPr>
        <sz val="12"/>
        <color theme="1"/>
        <rFont val="Arial"/>
        <family val="2"/>
      </rPr>
      <t xml:space="preserve">: trimestral                                                    </t>
    </r>
  </si>
  <si>
    <r>
      <t>01/01/2024 - 02/04/2024</t>
    </r>
    <r>
      <rPr>
        <b/>
        <sz val="12"/>
        <color theme="1"/>
        <rFont val="Arial"/>
        <family val="2"/>
      </rPr>
      <t xml:space="preserve"> I TRIMESTRE</t>
    </r>
    <r>
      <rPr>
        <sz val="12"/>
        <color theme="1"/>
        <rFont val="Arial"/>
        <family val="2"/>
      </rPr>
      <t xml:space="preserve">
01/04/2024 - 02/07/2024 </t>
    </r>
    <r>
      <rPr>
        <b/>
        <sz val="12"/>
        <color theme="1"/>
        <rFont val="Arial"/>
        <family val="2"/>
      </rPr>
      <t>II TRIMESTRE</t>
    </r>
    <r>
      <rPr>
        <sz val="12"/>
        <color theme="1"/>
        <rFont val="Arial"/>
        <family val="2"/>
      </rPr>
      <t xml:space="preserve">
01/07/2024 - 30/09/2024 </t>
    </r>
    <r>
      <rPr>
        <b/>
        <sz val="12"/>
        <color theme="1"/>
        <rFont val="Arial"/>
        <family val="2"/>
      </rPr>
      <t>III TRIMESTRE</t>
    </r>
    <r>
      <rPr>
        <sz val="12"/>
        <color theme="1"/>
        <rFont val="Arial"/>
        <family val="2"/>
      </rPr>
      <t xml:space="preserve">
01/10/2024 - 31/12/2024 </t>
    </r>
    <r>
      <rPr>
        <b/>
        <sz val="12"/>
        <color theme="1"/>
        <rFont val="Arial"/>
        <family val="2"/>
      </rPr>
      <t>IV TRIMESTRE</t>
    </r>
  </si>
  <si>
    <r>
      <t xml:space="preserve">El Custodio de Seguridad de la Información del Grupo o Escuadrón de Inteligencia de cada UMA´s. Realizará una Inspección de Seguridad de la Información, mensualmente, a Dependencias que originen, reciban o almacenen información que goce de reserva legal y dejar reporte de forma trimestral.              
 </t>
    </r>
    <r>
      <rPr>
        <b/>
        <sz val="12"/>
        <color theme="1"/>
        <rFont val="Arial"/>
        <family val="2"/>
      </rPr>
      <t>Periodo:</t>
    </r>
    <r>
      <rPr>
        <sz val="12"/>
        <color theme="1"/>
        <rFont val="Arial"/>
        <family val="2"/>
      </rPr>
      <t xml:space="preserve"> trimestral</t>
    </r>
  </si>
  <si>
    <r>
      <t xml:space="preserve">01/01/2024 - 02/04/2024 </t>
    </r>
    <r>
      <rPr>
        <b/>
        <sz val="12"/>
        <color theme="1"/>
        <rFont val="Arial"/>
        <family val="2"/>
      </rPr>
      <t>I TRIMESTRE</t>
    </r>
    <r>
      <rPr>
        <sz val="12"/>
        <color theme="1"/>
        <rFont val="Arial"/>
        <family val="2"/>
      </rPr>
      <t xml:space="preserve">
01/04/2024 - 02/07/2024 </t>
    </r>
    <r>
      <rPr>
        <b/>
        <sz val="12"/>
        <color theme="1"/>
        <rFont val="Arial"/>
        <family val="2"/>
      </rPr>
      <t>II TRIMESTRE</t>
    </r>
    <r>
      <rPr>
        <sz val="12"/>
        <color theme="1"/>
        <rFont val="Arial"/>
        <family val="2"/>
      </rPr>
      <t xml:space="preserve">
01/07/2024 - 30/09/2024 </t>
    </r>
    <r>
      <rPr>
        <b/>
        <sz val="12"/>
        <color theme="1"/>
        <rFont val="Arial"/>
        <family val="2"/>
      </rPr>
      <t>III TRIMESTRE</t>
    </r>
    <r>
      <rPr>
        <sz val="12"/>
        <color theme="1"/>
        <rFont val="Arial"/>
        <family val="2"/>
      </rPr>
      <t xml:space="preserve">
01/10/2024 - 31/12/2024 </t>
    </r>
    <r>
      <rPr>
        <b/>
        <sz val="12"/>
        <color theme="1"/>
        <rFont val="Arial"/>
        <family val="2"/>
      </rPr>
      <t>IV TRIMESTRE</t>
    </r>
  </si>
  <si>
    <r>
      <t xml:space="preserve">01/01/2024 - 02/04/2024 </t>
    </r>
    <r>
      <rPr>
        <b/>
        <sz val="12"/>
        <rFont val="Arial"/>
        <family val="2"/>
      </rPr>
      <t>I TRIMESTRE</t>
    </r>
    <r>
      <rPr>
        <sz val="12"/>
        <rFont val="Arial"/>
        <family val="2"/>
      </rPr>
      <t xml:space="preserve">
01/04/2024 - 02/07/2024 </t>
    </r>
    <r>
      <rPr>
        <b/>
        <sz val="12"/>
        <rFont val="Arial"/>
        <family val="2"/>
      </rPr>
      <t>II TRIMESTRE</t>
    </r>
    <r>
      <rPr>
        <sz val="12"/>
        <rFont val="Arial"/>
        <family val="2"/>
      </rPr>
      <t xml:space="preserve">
01/07/2024 - 30/09/2024 </t>
    </r>
    <r>
      <rPr>
        <b/>
        <sz val="12"/>
        <rFont val="Arial"/>
        <family val="2"/>
      </rPr>
      <t>III TRIMESTRE</t>
    </r>
    <r>
      <rPr>
        <sz val="12"/>
        <rFont val="Arial"/>
        <family val="2"/>
      </rPr>
      <t xml:space="preserve">
01/10/2024 - 31/12/2024 </t>
    </r>
    <r>
      <rPr>
        <b/>
        <sz val="12"/>
        <rFont val="Arial"/>
        <family val="2"/>
      </rPr>
      <t>IV TRIMESTRE</t>
    </r>
  </si>
  <si>
    <t xml:space="preserve">IGEFA / DIINS </t>
  </si>
  <si>
    <t>Posibilidad de pérdida reputacional, por queja de los inspeccionados debido a productos de inspección que no reflejan la realidad del inspeccionado y que no aportan valor agregado a las partes interesadas</t>
  </si>
  <si>
    <t>Productos que no cumplen con los criterios de claridad, oportunidad, utilidad y  objetividad (evidencia amplia y suficiente) y en general  que no aportan mejora a los procesos.
Entiéndase por valor agregado, la mejora adicional que adquiere el proceso derivado de los resultados de inspección
Entiéndase como productos los resultados de inspecciones, seguimientos, alertas, asesorias y acompañamiento
MATERIALIZACION: Cuando se presenten quejas o los resultados de las encuestas de satisfacción sean adversos
Cuando se eviencie que los procesos no mejoran los procedimientos, no se mejora una conducta, no se crean controles (se evidencia en los planes de mejoramiento derivados de inspecciones)</t>
  </si>
  <si>
    <t xml:space="preserve">No Aplica </t>
  </si>
  <si>
    <t xml:space="preserve">1, Quejas de los inspeccionados.
2. Resultados adversos de las encuestas de satisfacción </t>
  </si>
  <si>
    <t>Por productos de la  inspección que no reflejan la realidad del inspeccionado y  no aportan valor agregado a las partes interesadas</t>
  </si>
  <si>
    <t xml:space="preserve">Reputacional </t>
  </si>
  <si>
    <t>1.  Errores en la aplicación de procedimientos.
2. Falta de capacitación</t>
  </si>
  <si>
    <t>El inspector líder/responsable, cada vez que realice una inspección,  valida la claridad, oportunidad y valor agregado de los informes de inspección a través de la  verificación de la redacción, asignación de responsable y clasificación de incumplimientos y recomendaciones. En caso de  observarse novedades el inspector responsable deberá realizar las correcciones en forma inmediata. Evidencias: Informes preliminares y Finales de Inspección</t>
  </si>
  <si>
    <t>Ejecutar el  Plan de Capacitación de la vigencia 2024</t>
  </si>
  <si>
    <t>Contratos de capacitación
Listados de Asistencia 
Registro fotográfico
Oficios en el que se cita al personal a capacitar</t>
  </si>
  <si>
    <t xml:space="preserve">DIINS </t>
  </si>
  <si>
    <t>1/04/2024
2/07/2024
01-10-2024</t>
  </si>
  <si>
    <t>28/06/2024
27-09-2024
27-12-2024</t>
  </si>
  <si>
    <t>1.Efectuar las correcciones en los resultados de la inspección 
2. Emitir políticas e instrucciones correctivas y preventivas</t>
  </si>
  <si>
    <t xml:space="preserve">Informe de inspección corregido 
Documentos 
Oficios
Actas 
Posible corrección de procedimientos e instructivos </t>
  </si>
  <si>
    <t xml:space="preserve">IGEFA/DIINS </t>
  </si>
  <si>
    <t xml:space="preserve">INMEDIATA </t>
  </si>
  <si>
    <t xml:space="preserve">% Cumplimiento del Programa de Inspecciones </t>
  </si>
  <si>
    <t>El inspector líder /responsable, cada vez que realice una inspección, envía el informe preliminar de la inspección a los procesos a fin de que presenten descargo a los incumplimientos detectados; para asegurar, que el informe final emitido se ajuste, cuenta con información clara, veraz y oportuna. Evidencias : Actas de Descargo</t>
  </si>
  <si>
    <t>Ejecutar el  Programa de Inspecciones basado en riesgos de la vigencia 2024</t>
  </si>
  <si>
    <t xml:space="preserve">2024 Programa de Inspecciones /SVE
Informe de cumplimiento de programa de inspecciones </t>
  </si>
  <si>
    <t>2-01-2024
1/04/2024
2/07/2024
01-10-2024</t>
  </si>
  <si>
    <t>29-03-2024
28/06/2024
27-09-2024
27-12-2024</t>
  </si>
  <si>
    <t xml:space="preserve">El Director de Inspecciones, en forma permanente,  mantiene actualizados y socializados las normas y procedimientos para el ejercicio de los roles de control interno. En caso de  observarse novedades e incumplimientos, el responsable deberá realizar las correcciones en forma inmediata. Evidencias: Informes preliminares y Finales de Inspección, asesorías, seguimientos. Evidencias: Informe actualización Documentos, Oficios socialización de los documentos, Actas Paradas Procesos </t>
  </si>
  <si>
    <t>Emitir y socializar alertas preventivas</t>
  </si>
  <si>
    <t xml:space="preserve">
Oficios socializando a los procesos alertas preventivas </t>
  </si>
  <si>
    <t>Inducción al cargos de personal IGEFA-DIINS-ORICO</t>
  </si>
  <si>
    <t xml:space="preserve">Actas
Presentaciones </t>
  </si>
  <si>
    <t>IGEFA/DISOP</t>
  </si>
  <si>
    <t xml:space="preserve"> Posibilidad pérdida reputacional por queja de la sociedad civil al Estado Colombiano debido a la ocurrencia de Sucesos Operacionales que  afectan la integridad de personal, material y equipo, detrimento de recursos y de capacidad Operativa .</t>
  </si>
  <si>
    <t>Posibles daños a aeronaves no recuperable, fatalidades o algún tipo de discapacidad permanente a miembros de la tripulación, ocupantes de la aeronave o terceros como resultado de la ocurrencia de un Suceso  de Seguridad NO deseado</t>
  </si>
  <si>
    <t>1. No gestionar de manera efectiva  los peligros / riesgos operativos  presentados en las Unidades Militares Aéreas.
2. No identificar la causa raíz que genero la ocurrencia del suceso.</t>
  </si>
  <si>
    <t>Por el no cumplimiento de acciones de tratamiento insuficientes o inadecuadas a los sucesos, normas y/o procedimientos obsoletos y por no cumplimiento de normas y/o procedimientos.</t>
  </si>
  <si>
    <t>1. Errores en la aplicación de procedimientos
2. Falta de capacitación</t>
  </si>
  <si>
    <t xml:space="preserve">
El Director de Seguridad Operacional a través de los señores Subdirectores SUPRE, SUISO, SUFIO y SUFHO revisaran, evaluaran, actualizaran y socializaran toda  la normatividad y demás documentación del proceso de prevención con el fin de mitigar la ocurrencia de sucesos operacionales no deseados..
Evidencias: Oficios Socialización, Informes visitas de acompañamiento</t>
  </si>
  <si>
    <t>Bajo -40%</t>
  </si>
  <si>
    <t>Realizar visitas de acompañamiento a las UMA de acuerdo al programa estructurado para la nualidad y en el que se  revisa, evalúa  , actualizar y socializa   la Normatividad y demás documentación del proceso de Prevención SUPRE- SUISO</t>
  </si>
  <si>
    <t>Informes generados de las visitas de acompañamiento, cumplimiento actividades Plan de Acción PREVAC y Recomendaciones de investigaciones.</t>
  </si>
  <si>
    <t xml:space="preserve">DISOP </t>
  </si>
  <si>
    <t xml:space="preserve">1. Investigación de Seguridad Operacional por ocurrencia de algún suceso
</t>
  </si>
  <si>
    <t xml:space="preserve">Informe Investigación
Acta inicio Investigación
</t>
  </si>
  <si>
    <t xml:space="preserve">Resultado de Seguridad Operacional </t>
  </si>
  <si>
    <t xml:space="preserve">IGEFA/OFINT </t>
  </si>
  <si>
    <t xml:space="preserve"> Posibilidad de pérdida reputacional, por queja de la población civil a la FAC, relacionado con la falta de trámites de denuncias por corrupción dentro de los términos legales vigentes y a la falta de definición y promoción de  acciones estratégicas que garanticen la prevención de la corrupción.</t>
  </si>
  <si>
    <t>Cuando no se gestione adecuadamente las denuncias  por posibles hechos de corrupción allegados a la OFINT y estos no se tramiten dentro del tiempo legal vigente; y cuando se presenten en las encuestas de Integridad muy bajos índices de ejecución de estrategias culturales, pedagógicas y de campañas encaminadas a promover la legalidad e integridad para el cuidado de los recursos públicos.</t>
  </si>
  <si>
    <t xml:space="preserve">Quejas de los ciudadanos por no gestionar de manera efectiva denuncias por corrupción </t>
  </si>
  <si>
    <t>Por el no cumplimiento de las acciones establecidas en los puntos de control de los procedimientos, normas y leyes; y por la entrega de productos ineficientes e inadecuados</t>
  </si>
  <si>
    <t>1.Errores en la aplicación de procedimientos
2.Falta de capacitación</t>
  </si>
  <si>
    <t xml:space="preserve">El Jefe de la Oficina de Integridad a través de los Jefes de Área de Seguimiento y Evaluación realizará seguimiento y revisión de las denuncias allegadas y de los tiempos de ley que se encuentren dentro de los términos, y a través del Área Sensibilización y Prevención, se realizara revisión y actualización periódica de las estrategias realizadas para prevenir la corrupción 
Evidencia: Informe de seguimiento  </t>
  </si>
  <si>
    <t>Moderado-60%</t>
  </si>
  <si>
    <t>seguimiento actualizado de expedientes activos por los canales de la institución dispuestos para seguimiento y control</t>
  </si>
  <si>
    <t>Informes de seguimiento de denuncias por corrupción</t>
  </si>
  <si>
    <t xml:space="preserve">OFINT </t>
  </si>
  <si>
    <t>1.Efectuar las correcciones a que haya lugar        
2. Emitir políticas e instrucciones correctivas y preventivas</t>
  </si>
  <si>
    <t>Documentos/ Oficios /Alertas</t>
  </si>
  <si>
    <t>IGEFA / OFINT</t>
  </si>
  <si>
    <t>Índice de Análisis y seguimiento de  PQRSD por posibles hechos de corrupción</t>
  </si>
  <si>
    <t xml:space="preserve">no gestionar de manera efectiva acciones estratégicas que permitan garantizar la prevención de la corrupción </t>
  </si>
  <si>
    <t>Ejecutar el Plan de integridad vigencia 2024</t>
  </si>
  <si>
    <t>Seguimiento cumplimiento Plan de Integridad/ SVE</t>
  </si>
  <si>
    <t xml:space="preserve">IGEFA </t>
  </si>
  <si>
    <t xml:space="preserve">
Posibilidad de efecto dañoso 
sobre bienes públicos, por daño en los equipos de extinción de incendios aeronáuticos, a causa de inadecuada operación o insuficiencia en el mantenimiento de los mismos.</t>
  </si>
  <si>
    <t>Cuando se realiza una inadecuada contratación en el mantenimiento de los vehículos; así mismo, un mal control y seguimiento en los mantenimientos.
Adicional, un mal uso de los vehículos de bomberos causando averías de gran consideración llevando a la inutilización de los mismos.</t>
  </si>
  <si>
    <t xml:space="preserve">Inadecuada operación de los vehículos de Bomberos ya sea por mala praxis o insuficiente capacitación 
</t>
  </si>
  <si>
    <t>Por el no cumplimiento en la capacitación y entrenamiento de los operarios de los vehículos de bomberos; adicional, por no cumplimiento en el mantenimiento tanto menor como mayor de los vehículos de bomberos.</t>
  </si>
  <si>
    <t>El Director de Seguridad Operacional a través del área de Prevención de Seguridad Operacional realizará el seguimiento y revisión del cumplimiento de las solicitudes tanto de capacitación y entrenamiento de los operarios de los vehículos de bomberos ; así mismo, de solicitudes de mantenimiento y/o novedades en los vehículos para prevenir el daño de los mismos.</t>
  </si>
  <si>
    <t xml:space="preserve">Diseñar y Publicar el plan de mantenimiento Preventivo en las UMA´s 
Cumplir el plan de mantenimiento preventivo de los automotores de BOMBEROS en las Unidades Militares Aéreas 
Efectuar la capacitación y entrenamiento a los operarios de los automotores y equipos de BOMBEROS en la FAC </t>
  </si>
  <si>
    <t xml:space="preserve">Seguimiento al cumplimiento del plan de mantenimiento preventivo de los automotores BOMBEROS UMA´s
Seguimiento asistencia a las capacitaciones y entrenamiento a los operarios de los automotores y equipos de BOMBEROS en la FAC  </t>
  </si>
  <si>
    <t>1. Iniciar investigación, con el fin de determinar la (s) causa (s) de la pérdida del vehículo.
2. Revisión y ajuste de la doctrina del servicio SEI "Salvamento y Extinción de Incendios" según sea el caso.</t>
  </si>
  <si>
    <t xml:space="preserve">Documentos / oficios </t>
  </si>
  <si>
    <t>IGEFA / DISOP</t>
  </si>
  <si>
    <t>RG-IS-001</t>
  </si>
  <si>
    <t>RG-IS-002</t>
  </si>
  <si>
    <t>RG-IS-003</t>
  </si>
  <si>
    <t>RG-IS-004</t>
  </si>
  <si>
    <t>Gestión Humana</t>
  </si>
  <si>
    <t>1.0</t>
  </si>
  <si>
    <t>Fecha de Publicación:</t>
  </si>
  <si>
    <t>Versión:</t>
  </si>
  <si>
    <t>Inspección, Control y Gestión de la Seguridad Operacional</t>
  </si>
  <si>
    <t>Control de Cambios</t>
  </si>
  <si>
    <t>RG-DE-014</t>
  </si>
  <si>
    <t>Posibilidad de materialización de multas y sanciones por las entidades de vigilancia y control, debido a la perdida de información como consecuencia de la inexistencia de espacios amplios, idóneos y suficientes para la recepción de las transferencias documentales primarias, la preservación, conservación y custodia del patrimonio documental durante su ciclo de vida hasta su disposición.</t>
  </si>
  <si>
    <t xml:space="preserve">Posibilidad de materialización de multas y sanciones por las entidades de vigilancia y control, debido a la perdida de información como consecuencia de la inexistencia de espacios amplios, idóneos y suficientes para la recepción de las transferencias documentales primarias, la preservación, conservación y custodia del patrimonio documental durante su ciclo de vida hasta su disposición. Las malas condiciones de conservación de los documentos conllevan al deterioro de los mismos, y por ende a la pérdida de la memoria histórica institucional, lo cual es sancionable por parte del ente rector Archivo General de la Nación Jorge Palacios Preciado.
</t>
  </si>
  <si>
    <t>El desconocimiento de la responsabilidad que les asiste sobre la custodia y preservación de los archivos producidos, recepcionados y custodiados, en cumplimento de las funciones que le asisten a los funcionarios civiles y militares indistintamente de su modalidad de vinculación.</t>
  </si>
  <si>
    <t>Acta general de seguimiento, registro fotográfico y  listado de asistencia</t>
  </si>
  <si>
    <t>• Formular el Formato Análisis de Causa y Formato Plan de mejoramiento con las acciones correctivas.
• Realizar el seguimiento a la implementación del Plan de mejoramiento.</t>
  </si>
  <si>
    <t>Comunicación Oficial del cumplimiento del Plan de Mejoramiento con las evidencias.</t>
  </si>
  <si>
    <t>1 año</t>
  </si>
  <si>
    <t>Los Ayudantes, así como, los funcionarios militares y civiles a cargo del proceso de gestión documental de las dependencias del Comando de la Fuerza Aeroespacial Colombiana y  Unidades Militares Aéreas, durante el tercer y cuarto trimestre de la vigencia, identifican las necesidades y formulan el Plan Anual de Adquisiciones para el proceso de gestión documental el cual es consolidado por la Sección Estratégica Gestión Documental en el nivel central  y las Ayudantías de las Unidades Militares Aéreas en el nivel táctico,  con la descripción de los bienes y servicios requeridos para la siguiente vigencia. El entregable para esta actividad es: Acta general, registro fotográfico y  listado de asistencia donde SEMEP en el nivel central y SECOM en el nivel táctico, aprueban en el Plan Anual de Adquisiciones para la Sección Estratégica Gestión Documental y Ayudantía de las Unidades Militares Aéreas con la descripción de los bienes y o servicios requeridos.</t>
  </si>
  <si>
    <t xml:space="preserve">Estudios de conveniencia y oportunidad y acta de seguimiento, registro fotográfico y listado de asistencia a los rubros contratados </t>
  </si>
  <si>
    <t xml:space="preserve">• Elevar una comunicación oficial y generar un informe de materialización del riesgo y un informe sobre lo ocurrido y su impacto. 
</t>
  </si>
  <si>
    <t xml:space="preserve">Comunicación oficial, informe de materialización del riesgo e informe sobre lo ocurrido y su impacto. </t>
  </si>
  <si>
    <t>6 meses</t>
  </si>
  <si>
    <t xml:space="preserve">Realizar el seguimiento al Plan Institucional de Archivos, en lo que tiene que ver con el desarrollo e implementación del Sistema Integrado de Conservación de la Fuerza Aeroespacial Colombiana. 
</t>
  </si>
  <si>
    <t>Acta general de seguimiento, registro fotográfico,  listado de asistencia y evidencia de la ejecución conforme a los formatos establecidos</t>
  </si>
  <si>
    <t xml:space="preserve">• Activar el protocolo conforme al Programa de Prevención de Emergencias y Atención de Desastres Archivos.
</t>
  </si>
  <si>
    <t>Registro de limpieza y desinfección de las áreas de archivo DE-AYUGE-FR-023, el registro de control de plagas y roedores DE-AYUGE-FR-026 y el registro de monitoreo y control de condiciones ambientales DE-AYUGE-FR-025.</t>
  </si>
  <si>
    <t>SEGDO</t>
  </si>
  <si>
    <t>Deterioro de la documentación por factores físicos, químicos y biológicos.</t>
  </si>
  <si>
    <t xml:space="preserve">• Talento Humano: Falta de fortalecimiento del plan de senbilización y capacitación en responsabilidad sobre los archivos.
• Procesos: Falta de asignación de recursos económicos para el cabal cumplimiento de las actividades derivadas del proceso de gestión documental.
• Infraestructura: falta de instalaciones destinadas a la conservación y preservación de archivos.
</t>
  </si>
  <si>
    <t>Realizar jornadas de sensibilización y/o capacitación continuas entorno a la implementación de buenas prácticas en materia de gestión documental dirigida  a los funcionarios militares y civiles de las dependencias del Comando de la Fuerza Aeroespacial Colombiana y Unidades Militares Aéreas frente a las obligaciones y actividades señaladas para el desarrollo del proceso de gestión documental y el cumplimiento de la Ley 594 de 2000 “Ley General de Archivos”</t>
  </si>
  <si>
    <t>Realizar el seguimiento a las jornadas de sensibilización y/o capacitación entorno a la implementación de buenas prácticas en materia de gestión documental dirigida  a los funcionarios militares y civiles de las dependencias del Comando de la Fuerza Aeroespacial Colombiana y Unidades Militares Aéreas frente a las obligaciones y actividades señaladas para el desarrollo del proceso de gestión documental y el cumplimiento de la Ley 594 de 2000 “Ley General de Archivos”</t>
  </si>
  <si>
    <t>Estará bajo el liderazgo de la Ayudantía General - Sección Estratégica Gestión Documental y Ayudantías de las Unidades Militares Aéreas</t>
  </si>
  <si>
    <t>Insuficiencia en la asignación de recursos económicos para el cumplimiento de las actividades derivadas del proceso de gestión documental.</t>
  </si>
  <si>
    <t xml:space="preserve">Realizar seguimiento a los rubros aprobados y proyectar los estudios de conveniencia y oportunidad y dar tramite a las necesidades de acuerdo a los procedimientos definidos por el área.
 </t>
  </si>
  <si>
    <t>Incumplimiento de las actividades propias del proceso de gestión documental por parte de las Dependencias del Comando de la Fuerza Aeroespacial y las Unidades Militares Aéreas y sus áreas adscritas.</t>
  </si>
  <si>
    <t xml:space="preserve">Los Ayudantes, así como, los funcionarios militares y civiles a cargo del proceso de gestión documental de las dependencias del Comando de la Fuerza Aeroespacial Colombiana y  Unidades Militares Aéreas, ejecutan mensual y trimestralmente las jornadas de aseo, limpieza y desinfección a los archivos de gestión y centrales, conforme a lo establecido en el Sistema Integrado de Conservación, con el objetivo de prevenir el deterioro físico, químico y biológico de la documentación que conforma el acervo documental de la Fuerza. El entregable para dicha actividad es: el registro de limpieza y desinfección de las áreas de archivo DE-AYUGE-FR-023, el registro de control de plagas y roedores DE-AYUGE-FR-026 y el registro de monitoreo y control de condiciones ambientales DE-AYUGE-FR-025.
</t>
  </si>
  <si>
    <t>OFASI</t>
  </si>
  <si>
    <t>2024-COFAC-DE Riesgo posibilidad de pérdida reputacional por el reporte de información de carácter internacional que goza de reserva legal, sin la debida autorización o con el trámite, almacenamiento o difusión incorrecta, permitiendo la exposición de la misma a personal no autorizado, ya sea por la falta de conocimiento o la no aplicación de la -Política de Seguridad y Privacidad de la Información-, por parte de los funcionarios de la FAC o de terceros con autorización a conocer o manipular este tipo de información.</t>
  </si>
  <si>
    <t>Acciones orientadas a permitir la obtención, empleo o revelación de datos o información de carácter estratégico internacional, que goza de reserva legal (información clasificada, información calificada, sin importar su naturaleza, medio o lugar de almacenamiento o sección  productora), vulnerando los controles de seguridad de información existentes, por parte de personal de la institución o terceros, con el fin de lograr una ventaja por parte de la amenaza actual, generando afectación a las relaciones internacionales, la imagen institucional o incluso la seguridad nacional, regional, hemisférica o global.</t>
  </si>
  <si>
    <t>Reporte de información de carácter estratégico e internacional que goza de reserva legal, sin la debida autorización o con el trámite, almacenamiento o difusión incorrecta, produciendo fuga de información y permitiendo la exposición de la misma a personal no autorizado.</t>
  </si>
  <si>
    <t>Falta de conocimiento o la no aplicación de la Política de Seguridad y Privacidad de la Información, en la elaboración, tramite, difusión o almacenamiento de información que goza de reserva legal, por parte de los funcionarios de la FAC o de terceros con autorización a conocer o manipular este tipo de  información.</t>
  </si>
  <si>
    <t>Falta de capacitación de los funcionarios de la FAC o terceros, con acceso a información de carácter internacional, que goza de reserva legal.</t>
  </si>
  <si>
    <t>Acta en que se evidencie la inducción y/o capacitación del personal designado a la OFASI.</t>
  </si>
  <si>
    <t>Funcionario Custodio de la seguridad de la información - OFASI</t>
  </si>
  <si>
    <t>05/07/2024
31/12/2024</t>
  </si>
  <si>
    <t>El Jefe OFASI ordenará actividades de recolección de información, que permitan esclarecer los hechos y generar recomendaciones para mitigar su ocurrencia, revisar las causas y los controles establecidos, llevando a cabo un monitoreo constante.</t>
  </si>
  <si>
    <t>Informe final del seguimiento de la cadena y control del registro y trámite de la información.</t>
  </si>
  <si>
    <t>Jefe OFASI</t>
  </si>
  <si>
    <t>El funcionario custodio - OFASI efectuará el registro, control y seguimiento trimestral,  mediante formato  DE-AYUGE-FR-007 “Formatos Planilla Control Comunicaciones Oficiales Internas y Externas”, de la documentación física clasificada tramitada o allegada, de acuerdo a sus niveles de seguridad.</t>
  </si>
  <si>
    <t>El funcionario custodio - OFASI, efectuará socialización trimestral al personal de la dependencia, en cuanto al trámite de documentación clasificada de acuerdo a lo establecido en las "Políticas de seguridad de la información" establecidas en la FAC.</t>
  </si>
  <si>
    <t>05/04/2024
05/07/2024
05/10/2024
31/12/2024</t>
  </si>
  <si>
    <t>El funcionario custodio - OFASI, realizará de manera semestral, inducción y/o capacitación relacionada a las "Políticas de Seguridad de la información", para el personal designado a la OFASI.</t>
  </si>
  <si>
    <t>RG-DE-015</t>
  </si>
  <si>
    <t xml:space="preserve">El funcionario custodio - OFASI efectuará revisión trimestral aleatoria, del  trámite de archivos con calificación, por parte del personal orgánico de la OFASI, a través de correo electrónico institucional u otros medios para el trámite de documentación, con el fin de verificar el adecuado trámite y seguridad de este tipo de archivos.                                                                                                                                                                                                                                                          </t>
  </si>
  <si>
    <t>Acta en que se evidencie la socialización de lineamientos descritos en las "Políticas de Seguridad de la información" establecidas en la FAC; mediante formato de Acta General DE-AYUGE-FR-021.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</si>
</sst>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yy;@"/>
    <numFmt numFmtId="165" formatCode="0.0%"/>
    <numFmt numFmtId="166" formatCode="0.0"/>
  </numFmts>
  <fonts count="57">
    <font>
      <sz val="11"/>
      <color theme="1"/>
      <name val="Aptos Narrow"/>
      <family val="2"/>
      <scheme val="minor"/>
    </font>
    <font>
      <b/>
      <sz val="11"/>
      <color theme="0"/>
      <name val="Aptos Narrow"/>
      <family val="2"/>
      <scheme val="minor"/>
    </font>
    <font>
      <b/>
      <sz val="11"/>
      <color theme="1"/>
      <name val="Aptos Narrow"/>
      <family val="2"/>
      <scheme val="minor"/>
    </font>
    <font>
      <b/>
      <sz val="12"/>
      <name val="Arial"/>
      <family val="2"/>
    </font>
    <font>
      <sz val="12"/>
      <name val="Arial"/>
      <family val="2"/>
    </font>
    <font>
      <sz val="10"/>
      <color theme="1"/>
      <name val="Arial"/>
      <family val="2"/>
    </font>
    <font>
      <b/>
      <sz val="10"/>
      <color theme="1"/>
      <name val="Arial"/>
      <family val="2"/>
    </font>
    <font>
      <sz val="10"/>
      <color indexed="8"/>
      <name val="Arial"/>
      <family val="2"/>
    </font>
    <font>
      <b/>
      <sz val="10"/>
      <name val="Arial"/>
      <family val="2"/>
    </font>
    <font>
      <sz val="10"/>
      <name val="Arial"/>
      <family val="2"/>
    </font>
    <font>
      <sz val="11"/>
      <color theme="1"/>
      <name val="Arial"/>
      <family val="2"/>
    </font>
    <font>
      <b/>
      <sz val="11"/>
      <name val="Arial"/>
      <family val="2"/>
    </font>
    <font>
      <sz val="12"/>
      <color theme="1"/>
      <name val="Arial"/>
      <family val="2"/>
    </font>
    <font>
      <sz val="11"/>
      <name val="Arial"/>
      <family val="2"/>
    </font>
    <font>
      <sz val="9"/>
      <color theme="1"/>
      <name val="Arial"/>
      <family val="2"/>
    </font>
    <font>
      <sz val="9"/>
      <color indexed="81"/>
      <name val="Tahoma"/>
      <family val="2"/>
    </font>
    <font>
      <b/>
      <sz val="9"/>
      <color indexed="81"/>
      <name val="Tahoma"/>
      <family val="2"/>
    </font>
    <font>
      <b/>
      <u/>
      <sz val="9"/>
      <color indexed="81"/>
      <name val="Tahoma"/>
      <family val="2"/>
    </font>
    <font>
      <b/>
      <sz val="10"/>
      <name val="Trebuchet MS"/>
      <family val="2"/>
    </font>
    <font>
      <b/>
      <sz val="10"/>
      <color indexed="10"/>
      <name val="Trebuchet MS"/>
      <family val="2"/>
    </font>
    <font>
      <sz val="10"/>
      <color theme="1"/>
      <name val="Aptos Narrow"/>
      <family val="2"/>
      <scheme val="minor"/>
    </font>
    <font>
      <b/>
      <sz val="14"/>
      <color theme="0"/>
      <name val="Aptos Narrow"/>
      <family val="2"/>
      <scheme val="minor"/>
    </font>
    <font>
      <b/>
      <sz val="24"/>
      <color theme="0"/>
      <name val="Aptos Narrow"/>
      <family val="2"/>
      <scheme val="minor"/>
    </font>
    <font>
      <b/>
      <sz val="10"/>
      <color theme="0"/>
      <name val="Arial"/>
      <family val="2"/>
    </font>
    <font>
      <b/>
      <sz val="22"/>
      <color theme="1"/>
      <name val="Aptos Narrow"/>
      <family val="2"/>
      <scheme val="minor"/>
    </font>
    <font>
      <b/>
      <sz val="26"/>
      <color theme="1"/>
      <name val="Aptos Narrow"/>
      <family val="2"/>
      <scheme val="minor"/>
    </font>
    <font>
      <b/>
      <sz val="28"/>
      <color theme="1"/>
      <name val="Aptos Narrow"/>
      <family val="2"/>
      <scheme val="minor"/>
    </font>
    <font>
      <sz val="11"/>
      <color theme="1"/>
      <name val="Aptos Narrow"/>
      <family val="2"/>
      <scheme val="minor"/>
    </font>
    <font>
      <b/>
      <sz val="16"/>
      <color theme="0"/>
      <name val="Aptos Narrow"/>
      <family val="2"/>
      <scheme val="minor"/>
    </font>
    <font>
      <b/>
      <sz val="11"/>
      <color theme="0"/>
      <name val="Arial"/>
      <family val="2"/>
    </font>
    <font>
      <b/>
      <sz val="12"/>
      <color theme="0"/>
      <name val="Arial"/>
      <family val="2"/>
    </font>
    <font>
      <b/>
      <sz val="10"/>
      <color theme="2" tint="-0.89999084444715716"/>
      <name val="Arial"/>
      <family val="2"/>
    </font>
    <font>
      <b/>
      <sz val="11"/>
      <color theme="2" tint="-0.89999084444715716"/>
      <name val="Arial"/>
      <family val="2"/>
    </font>
    <font>
      <sz val="11"/>
      <color theme="2" tint="-0.89999084444715716"/>
      <name val="Arial"/>
      <family val="2"/>
    </font>
    <font>
      <sz val="8"/>
      <name val="Aptos Narrow"/>
      <family val="2"/>
      <scheme val="minor"/>
    </font>
    <font>
      <i/>
      <sz val="12"/>
      <color theme="0"/>
      <name val="Arial"/>
      <family val="2"/>
    </font>
    <font>
      <sz val="12"/>
      <color theme="0"/>
      <name val="Arial"/>
      <family val="2"/>
    </font>
    <font>
      <b/>
      <sz val="36"/>
      <color theme="0"/>
      <name val="Aptos Narrow"/>
      <family val="2"/>
      <scheme val="minor"/>
    </font>
    <font>
      <b/>
      <sz val="12"/>
      <color theme="1"/>
      <name val="Aptos Narrow"/>
      <family val="2"/>
      <scheme val="minor"/>
    </font>
    <font>
      <b/>
      <sz val="12"/>
      <color theme="1"/>
      <name val="Arial"/>
      <family val="2"/>
    </font>
    <font>
      <sz val="12"/>
      <color rgb="FF333333"/>
      <name val="Arial"/>
      <family val="2"/>
    </font>
    <font>
      <b/>
      <u/>
      <sz val="12"/>
      <name val="Arial"/>
      <family val="2"/>
    </font>
    <font>
      <sz val="12"/>
      <color rgb="FFFF0000"/>
      <name val="Arial"/>
      <family val="2"/>
    </font>
    <font>
      <sz val="12"/>
      <color theme="1"/>
      <name val="Aptos Narrow"/>
      <family val="2"/>
      <scheme val="minor"/>
    </font>
    <font>
      <sz val="12"/>
      <color indexed="8"/>
      <name val="Arial"/>
      <family val="2"/>
    </font>
    <font>
      <b/>
      <sz val="12"/>
      <color theme="0"/>
      <name val="Aptos Narrow"/>
      <family val="2"/>
      <scheme val="minor"/>
    </font>
    <font>
      <b/>
      <sz val="12"/>
      <color theme="2" tint="-0.89999084444715716"/>
      <name val="Arial"/>
      <family val="2"/>
    </font>
    <font>
      <sz val="12"/>
      <color theme="2" tint="-0.89999084444715716"/>
      <name val="Arial"/>
      <family val="2"/>
    </font>
    <font>
      <b/>
      <u/>
      <sz val="12"/>
      <color theme="1"/>
      <name val="Arial"/>
      <family val="2"/>
    </font>
    <font>
      <sz val="9"/>
      <name val="Arial"/>
      <family val="2"/>
    </font>
    <font>
      <b/>
      <sz val="9"/>
      <color theme="1"/>
      <name val="Arial"/>
      <family val="2"/>
    </font>
    <font>
      <b/>
      <sz val="18"/>
      <color theme="0"/>
      <name val="Arial"/>
      <family val="2"/>
    </font>
    <font>
      <sz val="12"/>
      <color rgb="FF000000"/>
      <name val="Arial"/>
      <family val="2"/>
    </font>
    <font>
      <b/>
      <sz val="20"/>
      <color theme="0"/>
      <name val="Aptos Narrow"/>
      <family val="2"/>
      <scheme val="minor"/>
    </font>
    <font>
      <b/>
      <sz val="11"/>
      <color theme="1"/>
      <name val="ADLaM Display"/>
    </font>
    <font>
      <sz val="48"/>
      <color theme="0"/>
      <name val="Amasis MT Pro Black"/>
      <family val="1"/>
    </font>
    <font>
      <sz val="11"/>
      <color theme="1"/>
      <name val="ADLaM Display"/>
    </font>
  </fonts>
  <fills count="27">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FFFF00"/>
        <bgColor indexed="64"/>
      </patternFill>
    </fill>
    <fill>
      <patternFill patternType="solid">
        <fgColor rgb="FF002060"/>
        <bgColor indexed="64"/>
      </patternFill>
    </fill>
    <fill>
      <patternFill patternType="solid">
        <fgColor theme="5" tint="0.79998168889431442"/>
        <bgColor indexed="64"/>
      </patternFill>
    </fill>
    <fill>
      <patternFill patternType="solid">
        <fgColor rgb="FFFF0000"/>
        <bgColor indexed="64"/>
      </patternFill>
    </fill>
    <fill>
      <patternFill patternType="solid">
        <fgColor theme="6" tint="0.59999389629810485"/>
        <bgColor indexed="64"/>
      </patternFill>
    </fill>
    <fill>
      <patternFill patternType="solid">
        <fgColor rgb="FF92D050"/>
        <bgColor indexed="64"/>
      </patternFill>
    </fill>
    <fill>
      <patternFill patternType="solid">
        <fgColor rgb="FFFFC000"/>
        <bgColor indexed="64"/>
      </patternFill>
    </fill>
    <fill>
      <patternFill patternType="solid">
        <fgColor rgb="FFFFCC0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3" tint="0.89999084444715716"/>
        <bgColor indexed="64"/>
      </patternFill>
    </fill>
    <fill>
      <patternFill patternType="solid">
        <fgColor theme="9" tint="0.39997558519241921"/>
        <bgColor indexed="64"/>
      </patternFill>
    </fill>
    <fill>
      <patternFill patternType="solid">
        <fgColor rgb="FFC00000"/>
        <bgColor indexed="64"/>
      </patternFill>
    </fill>
    <fill>
      <patternFill patternType="solid">
        <fgColor theme="5" tint="0.39997558519241921"/>
        <bgColor indexed="64"/>
      </patternFill>
    </fill>
    <fill>
      <patternFill patternType="solid">
        <fgColor rgb="FF0070C0"/>
        <bgColor indexed="64"/>
      </patternFill>
    </fill>
    <fill>
      <patternFill patternType="solid">
        <fgColor theme="7" tint="-0.249977111117893"/>
        <bgColor indexed="64"/>
      </patternFill>
    </fill>
    <fill>
      <patternFill patternType="solid">
        <fgColor rgb="FFFFFFFF"/>
        <bgColor rgb="FF000000"/>
      </patternFill>
    </fill>
    <fill>
      <patternFill patternType="solid">
        <fgColor rgb="FF00B0F0"/>
        <bgColor indexed="64"/>
      </patternFill>
    </fill>
    <fill>
      <patternFill patternType="solid">
        <fgColor theme="6" tint="-0.249977111117893"/>
        <bgColor indexed="64"/>
      </patternFill>
    </fill>
    <fill>
      <patternFill patternType="solid">
        <fgColor theme="7" tint="0.79998168889431442"/>
        <bgColor indexed="64"/>
      </patternFill>
    </fill>
    <fill>
      <patternFill patternType="solid">
        <fgColor rgb="FFFBE2D5"/>
        <bgColor rgb="FF000000"/>
      </patternFill>
    </fill>
  </fills>
  <borders count="72">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top/>
      <bottom style="medium">
        <color indexed="64"/>
      </bottom>
      <diagonal/>
    </border>
    <border>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4">
    <xf numFmtId="0" fontId="0" fillId="0" borderId="0"/>
    <xf numFmtId="0" fontId="9" fillId="0" borderId="0"/>
    <xf numFmtId="9" fontId="27" fillId="0" borderId="0" applyFont="0" applyFill="0" applyBorder="0" applyAlignment="0" applyProtection="0"/>
    <xf numFmtId="0" fontId="27" fillId="0" borderId="0"/>
  </cellStyleXfs>
  <cellXfs count="841">
    <xf numFmtId="0" fontId="0" fillId="0" borderId="0" xfId="0"/>
    <xf numFmtId="0" fontId="0" fillId="2" borderId="2" xfId="0" applyFill="1" applyBorder="1" applyAlignment="1">
      <alignment horizontal="center"/>
    </xf>
    <xf numFmtId="0" fontId="3" fillId="2" borderId="3" xfId="0" applyFont="1" applyFill="1" applyBorder="1" applyAlignment="1">
      <alignment horizontal="center" vertical="center" wrapText="1"/>
    </xf>
    <xf numFmtId="0" fontId="4" fillId="0" borderId="3" xfId="0" applyFont="1" applyBorder="1" applyAlignment="1">
      <alignment horizontal="center" vertical="center"/>
    </xf>
    <xf numFmtId="0" fontId="0" fillId="2" borderId="0" xfId="0" applyFill="1"/>
    <xf numFmtId="0" fontId="0" fillId="2" borderId="5" xfId="0" applyFill="1" applyBorder="1" applyAlignment="1">
      <alignment horizontal="center"/>
    </xf>
    <xf numFmtId="0" fontId="0" fillId="2" borderId="7" xfId="0" applyFill="1" applyBorder="1" applyAlignment="1">
      <alignment horizontal="center"/>
    </xf>
    <xf numFmtId="164" fontId="4" fillId="0" borderId="3" xfId="0" applyNumberFormat="1" applyFont="1" applyBorder="1" applyAlignment="1">
      <alignment horizontal="center" vertical="center"/>
    </xf>
    <xf numFmtId="0" fontId="5" fillId="0" borderId="0" xfId="0" applyFont="1"/>
    <xf numFmtId="0" fontId="5" fillId="2" borderId="0" xfId="0" applyFont="1" applyFill="1"/>
    <xf numFmtId="0" fontId="9" fillId="2" borderId="0" xfId="0" applyFont="1" applyFill="1" applyAlignment="1">
      <alignment horizontal="center" vertical="center" wrapText="1"/>
    </xf>
    <xf numFmtId="0" fontId="10" fillId="2" borderId="0" xfId="0" applyFont="1" applyFill="1"/>
    <xf numFmtId="0" fontId="12" fillId="0" borderId="0" xfId="0" applyFont="1" applyAlignment="1">
      <alignment horizontal="justify" vertical="center" wrapText="1"/>
    </xf>
    <xf numFmtId="0" fontId="1" fillId="7" borderId="0" xfId="0" applyFont="1" applyFill="1"/>
    <xf numFmtId="0" fontId="0" fillId="0" borderId="0" xfId="0" applyAlignment="1">
      <alignment wrapText="1"/>
    </xf>
    <xf numFmtId="0" fontId="0" fillId="0" borderId="0" xfId="0" applyAlignment="1">
      <alignment horizontal="center" vertical="center"/>
    </xf>
    <xf numFmtId="0" fontId="0" fillId="0" borderId="0" xfId="0" applyAlignment="1">
      <alignment horizontal="center"/>
    </xf>
    <xf numFmtId="0" fontId="2" fillId="10" borderId="16" xfId="0" applyFont="1" applyFill="1" applyBorder="1" applyAlignment="1">
      <alignment horizontal="center" vertical="center" wrapText="1"/>
    </xf>
    <xf numFmtId="0" fontId="2" fillId="10" borderId="3" xfId="0" applyFont="1" applyFill="1" applyBorder="1" applyAlignment="1">
      <alignment horizontal="center" vertical="center" wrapText="1"/>
    </xf>
    <xf numFmtId="1" fontId="2" fillId="10" borderId="3" xfId="0" applyNumberFormat="1" applyFont="1" applyFill="1" applyBorder="1" applyAlignment="1">
      <alignment horizontal="center" vertical="center" wrapText="1"/>
    </xf>
    <xf numFmtId="0" fontId="2" fillId="10" borderId="13" xfId="0" applyFont="1" applyFill="1" applyBorder="1" applyAlignment="1">
      <alignment horizontal="center" vertical="center" wrapText="1"/>
    </xf>
    <xf numFmtId="1" fontId="2" fillId="10" borderId="13" xfId="0" applyNumberFormat="1" applyFont="1" applyFill="1" applyBorder="1" applyAlignment="1">
      <alignment horizontal="center" vertical="center" wrapText="1"/>
    </xf>
    <xf numFmtId="0" fontId="0" fillId="0" borderId="15" xfId="0" applyBorder="1" applyAlignment="1">
      <alignment horizontal="center"/>
    </xf>
    <xf numFmtId="0" fontId="0" fillId="0" borderId="16" xfId="0" applyBorder="1" applyAlignment="1">
      <alignment horizontal="center"/>
    </xf>
    <xf numFmtId="0" fontId="20" fillId="11" borderId="16" xfId="0" applyFont="1" applyFill="1" applyBorder="1" applyAlignment="1">
      <alignment horizontal="center"/>
    </xf>
    <xf numFmtId="0" fontId="20" fillId="11" borderId="17" xfId="0" applyFont="1" applyFill="1" applyBorder="1" applyAlignment="1">
      <alignment horizontal="center"/>
    </xf>
    <xf numFmtId="0" fontId="0" fillId="0" borderId="3" xfId="0" applyBorder="1" applyAlignment="1">
      <alignment horizontal="center"/>
    </xf>
    <xf numFmtId="0" fontId="20" fillId="11" borderId="3" xfId="0" applyFont="1" applyFill="1" applyBorder="1" applyAlignment="1">
      <alignment horizontal="center"/>
    </xf>
    <xf numFmtId="0" fontId="20" fillId="11" borderId="19" xfId="0" applyFont="1" applyFill="1" applyBorder="1" applyAlignment="1">
      <alignment horizontal="center"/>
    </xf>
    <xf numFmtId="0" fontId="20" fillId="6" borderId="3" xfId="0" applyFont="1" applyFill="1" applyBorder="1" applyAlignment="1">
      <alignment horizontal="center"/>
    </xf>
    <xf numFmtId="0" fontId="20" fillId="6" borderId="21" xfId="0" applyFont="1" applyFill="1" applyBorder="1" applyAlignment="1">
      <alignment horizontal="center"/>
    </xf>
    <xf numFmtId="0" fontId="20" fillId="12" borderId="3" xfId="0" applyFont="1" applyFill="1" applyBorder="1" applyAlignment="1">
      <alignment horizontal="center"/>
    </xf>
    <xf numFmtId="0" fontId="20" fillId="13" borderId="21" xfId="0" applyFont="1" applyFill="1" applyBorder="1" applyAlignment="1">
      <alignment horizontal="center"/>
    </xf>
    <xf numFmtId="0" fontId="0" fillId="0" borderId="13" xfId="0" applyBorder="1" applyAlignment="1">
      <alignment horizontal="center"/>
    </xf>
    <xf numFmtId="0" fontId="20" fillId="9" borderId="13" xfId="0" applyFont="1" applyFill="1" applyBorder="1" applyAlignment="1">
      <alignment horizontal="center"/>
    </xf>
    <xf numFmtId="0" fontId="20" fillId="9" borderId="21" xfId="0" applyFont="1" applyFill="1" applyBorder="1" applyAlignment="1">
      <alignment horizontal="center"/>
    </xf>
    <xf numFmtId="0" fontId="20" fillId="13" borderId="3" xfId="0" applyFont="1" applyFill="1" applyBorder="1" applyAlignment="1">
      <alignment horizontal="center"/>
    </xf>
    <xf numFmtId="0" fontId="20" fillId="6" borderId="16" xfId="0" applyFont="1" applyFill="1" applyBorder="1" applyAlignment="1">
      <alignment horizontal="center"/>
    </xf>
    <xf numFmtId="0" fontId="20" fillId="12" borderId="21" xfId="0" applyFont="1" applyFill="1" applyBorder="1" applyAlignment="1">
      <alignment horizontal="center"/>
    </xf>
    <xf numFmtId="0" fontId="0" fillId="0" borderId="15" xfId="0" applyBorder="1" applyAlignment="1">
      <alignment horizontal="center" wrapText="1"/>
    </xf>
    <xf numFmtId="0" fontId="20" fillId="12" borderId="16" xfId="0" applyFont="1" applyFill="1" applyBorder="1" applyAlignment="1">
      <alignment horizontal="center"/>
    </xf>
    <xf numFmtId="0" fontId="0" fillId="0" borderId="0" xfId="0" applyAlignment="1">
      <alignment horizontal="left"/>
    </xf>
    <xf numFmtId="9" fontId="0" fillId="0" borderId="0" xfId="0" applyNumberFormat="1"/>
    <xf numFmtId="0" fontId="1" fillId="7" borderId="0" xfId="0" applyFont="1" applyFill="1" applyAlignment="1">
      <alignment wrapText="1"/>
    </xf>
    <xf numFmtId="0" fontId="18" fillId="4" borderId="10" xfId="0" applyFont="1" applyFill="1" applyBorder="1" applyAlignment="1">
      <alignment horizontal="center" vertical="center" wrapText="1"/>
    </xf>
    <xf numFmtId="0" fontId="18" fillId="4" borderId="11" xfId="0" applyFont="1" applyFill="1" applyBorder="1" applyAlignment="1">
      <alignment horizontal="center" vertical="center" wrapText="1"/>
    </xf>
    <xf numFmtId="0" fontId="10" fillId="2" borderId="0" xfId="0" applyFont="1" applyFill="1" applyAlignment="1">
      <alignment horizontal="center"/>
    </xf>
    <xf numFmtId="0" fontId="0" fillId="0" borderId="3" xfId="0" applyBorder="1" applyAlignment="1">
      <alignment horizontal="center" wrapText="1"/>
    </xf>
    <xf numFmtId="9" fontId="0" fillId="0" borderId="3" xfId="0" applyNumberFormat="1" applyBorder="1" applyAlignment="1">
      <alignment horizontal="center"/>
    </xf>
    <xf numFmtId="9" fontId="0" fillId="0" borderId="3" xfId="0" applyNumberFormat="1" applyBorder="1" applyAlignment="1">
      <alignment horizontal="center" vertical="center"/>
    </xf>
    <xf numFmtId="0" fontId="28" fillId="7" borderId="0" xfId="0" applyFont="1" applyFill="1" applyAlignment="1">
      <alignment horizontal="center" vertical="center"/>
    </xf>
    <xf numFmtId="0" fontId="14" fillId="2" borderId="0" xfId="0" applyFont="1" applyFill="1" applyAlignment="1">
      <alignment horizontal="center" vertical="center"/>
    </xf>
    <xf numFmtId="0" fontId="12" fillId="0" borderId="0" xfId="0" applyFont="1" applyAlignment="1">
      <alignment horizontal="center" vertical="center" wrapText="1"/>
    </xf>
    <xf numFmtId="0" fontId="1" fillId="7" borderId="3" xfId="0" applyFont="1" applyFill="1" applyBorder="1" applyAlignment="1">
      <alignment horizontal="center"/>
    </xf>
    <xf numFmtId="0" fontId="20" fillId="11" borderId="40" xfId="0" applyFont="1" applyFill="1" applyBorder="1" applyAlignment="1">
      <alignment horizontal="center"/>
    </xf>
    <xf numFmtId="0" fontId="20" fillId="11" borderId="6" xfId="0" applyFont="1" applyFill="1" applyBorder="1" applyAlignment="1">
      <alignment horizontal="center"/>
    </xf>
    <xf numFmtId="0" fontId="20" fillId="6" borderId="9" xfId="0" applyFont="1" applyFill="1" applyBorder="1" applyAlignment="1">
      <alignment horizontal="center"/>
    </xf>
    <xf numFmtId="0" fontId="20" fillId="12" borderId="9" xfId="0" applyFont="1" applyFill="1" applyBorder="1" applyAlignment="1">
      <alignment horizontal="center"/>
    </xf>
    <xf numFmtId="0" fontId="20" fillId="9" borderId="1" xfId="0" applyFont="1" applyFill="1" applyBorder="1" applyAlignment="1">
      <alignment horizontal="center"/>
    </xf>
    <xf numFmtId="0" fontId="20" fillId="13" borderId="9" xfId="0" applyFont="1" applyFill="1" applyBorder="1" applyAlignment="1">
      <alignment horizontal="center"/>
    </xf>
    <xf numFmtId="0" fontId="20" fillId="6" borderId="6" xfId="0" applyFont="1" applyFill="1" applyBorder="1" applyAlignment="1">
      <alignment horizontal="center"/>
    </xf>
    <xf numFmtId="0" fontId="20" fillId="12" borderId="6" xfId="0" applyFont="1" applyFill="1" applyBorder="1" applyAlignment="1">
      <alignment horizontal="center"/>
    </xf>
    <xf numFmtId="2" fontId="0" fillId="0" borderId="3" xfId="0" applyNumberFormat="1" applyBorder="1" applyAlignment="1">
      <alignment horizontal="center"/>
    </xf>
    <xf numFmtId="9" fontId="0" fillId="0" borderId="0" xfId="0" applyNumberFormat="1" applyAlignment="1">
      <alignment horizontal="center"/>
    </xf>
    <xf numFmtId="0" fontId="0" fillId="2" borderId="0" xfId="0" applyFill="1" applyAlignment="1">
      <alignment horizontal="center"/>
    </xf>
    <xf numFmtId="0" fontId="11" fillId="5" borderId="16" xfId="0" applyFont="1" applyFill="1" applyBorder="1" applyAlignment="1">
      <alignment horizontal="center" vertical="center" wrapText="1"/>
    </xf>
    <xf numFmtId="0" fontId="23" fillId="18" borderId="16" xfId="0" applyFont="1" applyFill="1" applyBorder="1" applyAlignment="1">
      <alignment horizontal="center" vertical="center" wrapText="1"/>
    </xf>
    <xf numFmtId="0" fontId="23" fillId="18" borderId="13"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23" fillId="18" borderId="24" xfId="0" applyFont="1" applyFill="1" applyBorder="1" applyAlignment="1">
      <alignment horizontal="center" vertical="center" wrapText="1"/>
    </xf>
    <xf numFmtId="0" fontId="5" fillId="2" borderId="0" xfId="0" applyFont="1" applyFill="1" applyAlignment="1">
      <alignment horizontal="center"/>
    </xf>
    <xf numFmtId="0" fontId="8" fillId="5" borderId="13"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5" fillId="0" borderId="0" xfId="0" applyFont="1" applyAlignment="1">
      <alignment horizontal="center"/>
    </xf>
    <xf numFmtId="0" fontId="7" fillId="0" borderId="0" xfId="0" applyFont="1" applyAlignment="1">
      <alignment horizontal="center" vertical="center"/>
    </xf>
    <xf numFmtId="0" fontId="0" fillId="2" borderId="0" xfId="0" applyFill="1" applyAlignment="1">
      <alignment horizontal="center" vertical="center" wrapText="1"/>
    </xf>
    <xf numFmtId="0" fontId="2" fillId="2" borderId="0" xfId="0" applyFont="1" applyFill="1" applyAlignment="1">
      <alignment horizontal="center" vertical="center" wrapText="1"/>
    </xf>
    <xf numFmtId="1" fontId="2" fillId="2" borderId="0" xfId="0" applyNumberFormat="1" applyFont="1" applyFill="1" applyAlignment="1">
      <alignment horizontal="center" vertical="center" wrapText="1"/>
    </xf>
    <xf numFmtId="0" fontId="22" fillId="2" borderId="0" xfId="0" applyFont="1" applyFill="1" applyAlignment="1">
      <alignment vertical="center"/>
    </xf>
    <xf numFmtId="0" fontId="20" fillId="2" borderId="0" xfId="0" applyFont="1" applyFill="1" applyAlignment="1">
      <alignment horizontal="center"/>
    </xf>
    <xf numFmtId="0" fontId="0" fillId="2" borderId="0" xfId="0" applyFill="1" applyAlignment="1">
      <alignment horizontal="center" wrapText="1"/>
    </xf>
    <xf numFmtId="0" fontId="3" fillId="0" borderId="3" xfId="0" applyFont="1" applyBorder="1" applyAlignment="1">
      <alignment horizontal="center" vertical="center"/>
    </xf>
    <xf numFmtId="0" fontId="12" fillId="2" borderId="3" xfId="0" applyFont="1" applyFill="1" applyBorder="1" applyAlignment="1">
      <alignment horizontal="center" vertical="center"/>
    </xf>
    <xf numFmtId="0" fontId="12" fillId="2" borderId="3" xfId="0" applyFont="1" applyFill="1" applyBorder="1" applyAlignment="1">
      <alignment horizontal="center" vertical="center" wrapText="1"/>
    </xf>
    <xf numFmtId="0" fontId="12" fillId="2" borderId="3" xfId="0" applyFont="1" applyFill="1" applyBorder="1" applyAlignment="1" applyProtection="1">
      <alignment horizontal="center" vertical="center" wrapText="1"/>
      <protection locked="0"/>
    </xf>
    <xf numFmtId="0" fontId="4" fillId="2" borderId="3" xfId="0" applyFont="1" applyFill="1" applyBorder="1" applyAlignment="1">
      <alignment horizontal="center" vertical="center" wrapText="1"/>
    </xf>
    <xf numFmtId="9" fontId="4" fillId="2" borderId="3" xfId="2" applyFont="1" applyFill="1" applyBorder="1" applyAlignment="1" applyProtection="1">
      <alignment horizontal="center" vertical="center" wrapText="1"/>
    </xf>
    <xf numFmtId="10" fontId="4" fillId="2" borderId="3" xfId="2" applyNumberFormat="1" applyFont="1" applyFill="1" applyBorder="1" applyAlignment="1" applyProtection="1">
      <alignment horizontal="center" vertical="center" wrapText="1"/>
    </xf>
    <xf numFmtId="0" fontId="41" fillId="2" borderId="3"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wrapText="1"/>
      <protection locked="0"/>
    </xf>
    <xf numFmtId="0" fontId="4" fillId="2" borderId="3" xfId="1" applyFont="1" applyFill="1" applyBorder="1" applyAlignment="1">
      <alignment horizontal="center" vertical="center" wrapText="1"/>
    </xf>
    <xf numFmtId="0" fontId="4" fillId="8" borderId="3" xfId="0" applyFont="1" applyFill="1" applyBorder="1" applyAlignment="1">
      <alignment horizontal="center" vertical="center" wrapText="1"/>
    </xf>
    <xf numFmtId="9" fontId="4" fillId="8" borderId="3" xfId="0" applyNumberFormat="1" applyFont="1" applyFill="1" applyBorder="1" applyAlignment="1">
      <alignment horizontal="center" vertical="center" wrapText="1"/>
    </xf>
    <xf numFmtId="14" fontId="12" fillId="2" borderId="3" xfId="0" applyNumberFormat="1" applyFont="1" applyFill="1" applyBorder="1" applyAlignment="1">
      <alignment horizontal="center" vertical="center" wrapText="1"/>
    </xf>
    <xf numFmtId="0" fontId="32" fillId="19" borderId="23" xfId="1" applyFont="1" applyFill="1" applyBorder="1" applyAlignment="1">
      <alignment horizontal="center" vertical="center" wrapText="1"/>
    </xf>
    <xf numFmtId="0" fontId="32" fillId="19" borderId="35" xfId="1" applyFont="1" applyFill="1" applyBorder="1" applyAlignment="1">
      <alignment horizontal="center" vertical="center" wrapText="1"/>
    </xf>
    <xf numFmtId="0" fontId="33" fillId="19" borderId="52" xfId="1" applyFont="1" applyFill="1" applyBorder="1" applyAlignment="1">
      <alignment horizontal="center" vertical="center" wrapText="1"/>
    </xf>
    <xf numFmtId="0" fontId="33" fillId="19" borderId="53" xfId="1" applyFont="1" applyFill="1" applyBorder="1" applyAlignment="1">
      <alignment horizontal="center" vertical="center" wrapText="1"/>
    </xf>
    <xf numFmtId="0" fontId="13" fillId="2" borderId="0" xfId="1" applyFont="1" applyFill="1" applyAlignment="1">
      <alignment horizontal="center" vertical="center" wrapText="1"/>
    </xf>
    <xf numFmtId="0" fontId="8" fillId="2" borderId="11" xfId="0" applyFont="1" applyFill="1" applyBorder="1" applyAlignment="1">
      <alignment horizontal="center" vertical="center" wrapText="1"/>
    </xf>
    <xf numFmtId="0" fontId="10" fillId="2" borderId="11" xfId="0" applyFont="1" applyFill="1" applyBorder="1" applyAlignment="1">
      <alignment horizontal="center"/>
    </xf>
    <xf numFmtId="0" fontId="11" fillId="2" borderId="51" xfId="1" applyFont="1" applyFill="1" applyBorder="1" applyAlignment="1">
      <alignment horizontal="center" vertical="center" wrapText="1"/>
    </xf>
    <xf numFmtId="0" fontId="13" fillId="2" borderId="51" xfId="1" applyFont="1" applyFill="1" applyBorder="1" applyAlignment="1">
      <alignment horizontal="center" vertical="center" wrapText="1"/>
    </xf>
    <xf numFmtId="0" fontId="13" fillId="2" borderId="54" xfId="0" applyFont="1" applyFill="1" applyBorder="1" applyAlignment="1">
      <alignment horizontal="center" vertical="center"/>
    </xf>
    <xf numFmtId="0" fontId="11" fillId="5" borderId="10" xfId="0" applyFont="1" applyFill="1" applyBorder="1" applyAlignment="1">
      <alignment horizontal="center" vertical="center" wrapText="1"/>
    </xf>
    <xf numFmtId="0" fontId="23" fillId="18" borderId="10" xfId="0" applyFont="1" applyFill="1" applyBorder="1" applyAlignment="1">
      <alignment horizontal="center" vertical="center" wrapText="1"/>
    </xf>
    <xf numFmtId="0" fontId="40" fillId="2" borderId="3" xfId="0" applyFont="1" applyFill="1" applyBorder="1" applyAlignment="1" applyProtection="1">
      <alignment horizontal="center" vertical="center" wrapText="1"/>
      <protection locked="0"/>
    </xf>
    <xf numFmtId="0" fontId="12" fillId="2" borderId="10" xfId="0" applyFont="1" applyFill="1" applyBorder="1" applyAlignment="1">
      <alignment horizontal="center" vertical="center" wrapText="1"/>
    </xf>
    <xf numFmtId="0" fontId="12" fillId="2" borderId="3" xfId="0" applyFont="1" applyFill="1" applyBorder="1" applyAlignment="1">
      <alignment horizontal="justify" vertical="center" wrapText="1"/>
    </xf>
    <xf numFmtId="0" fontId="12" fillId="2" borderId="12" xfId="0" applyFont="1" applyFill="1" applyBorder="1" applyAlignment="1">
      <alignment horizontal="center" vertical="center"/>
    </xf>
    <xf numFmtId="0" fontId="12" fillId="2" borderId="12" xfId="0" applyFont="1" applyFill="1" applyBorder="1" applyAlignment="1">
      <alignment horizontal="center" vertical="center" wrapText="1"/>
    </xf>
    <xf numFmtId="0" fontId="12" fillId="2" borderId="12" xfId="0" applyFont="1" applyFill="1" applyBorder="1" applyAlignment="1" applyProtection="1">
      <alignment horizontal="center" vertical="center" wrapText="1"/>
      <protection locked="0"/>
    </xf>
    <xf numFmtId="0" fontId="4" fillId="8" borderId="12" xfId="0" applyFont="1" applyFill="1" applyBorder="1" applyAlignment="1">
      <alignment horizontal="center" vertical="center" wrapText="1"/>
    </xf>
    <xf numFmtId="9" fontId="4" fillId="8" borderId="12" xfId="0" applyNumberFormat="1" applyFont="1" applyFill="1" applyBorder="1" applyAlignment="1">
      <alignment horizontal="center" vertical="center" wrapText="1"/>
    </xf>
    <xf numFmtId="0" fontId="4" fillId="2" borderId="12" xfId="0" applyFont="1" applyFill="1" applyBorder="1" applyAlignment="1">
      <alignment horizontal="center" vertical="center" wrapText="1"/>
    </xf>
    <xf numFmtId="9" fontId="4" fillId="2" borderId="12" xfId="2" applyFont="1" applyFill="1" applyBorder="1" applyAlignment="1" applyProtection="1">
      <alignment horizontal="center" vertical="center" wrapText="1"/>
    </xf>
    <xf numFmtId="10" fontId="4" fillId="2" borderId="12" xfId="2" applyNumberFormat="1" applyFont="1" applyFill="1" applyBorder="1" applyAlignment="1" applyProtection="1">
      <alignment horizontal="center" vertical="center" wrapText="1"/>
    </xf>
    <xf numFmtId="0" fontId="12" fillId="0" borderId="3" xfId="0" applyFont="1" applyBorder="1" applyAlignment="1">
      <alignment horizontal="center" vertical="center"/>
    </xf>
    <xf numFmtId="0" fontId="12" fillId="0" borderId="3" xfId="0" applyFont="1" applyBorder="1" applyAlignment="1">
      <alignment horizontal="center" vertical="center" wrapText="1"/>
    </xf>
    <xf numFmtId="0" fontId="12" fillId="0" borderId="3" xfId="0" applyFont="1" applyBorder="1" applyAlignment="1" applyProtection="1">
      <alignment horizontal="center" vertical="center" wrapText="1"/>
      <protection locked="0"/>
    </xf>
    <xf numFmtId="0" fontId="12" fillId="2" borderId="3" xfId="0" applyFont="1" applyFill="1" applyBorder="1" applyAlignment="1">
      <alignment vertical="center" wrapText="1"/>
    </xf>
    <xf numFmtId="0" fontId="6" fillId="0" borderId="0" xfId="0" applyFont="1" applyAlignment="1">
      <alignment horizontal="center"/>
    </xf>
    <xf numFmtId="0" fontId="13" fillId="2" borderId="51" xfId="0" applyFont="1" applyFill="1" applyBorder="1" applyAlignment="1">
      <alignment horizontal="center" vertical="center" wrapText="1"/>
    </xf>
    <xf numFmtId="0" fontId="31" fillId="5" borderId="29" xfId="0" applyFont="1" applyFill="1" applyBorder="1" applyAlignment="1">
      <alignment horizontal="center" vertical="center" textRotation="90" wrapText="1"/>
    </xf>
    <xf numFmtId="0" fontId="12" fillId="2" borderId="10" xfId="0" applyFont="1" applyFill="1" applyBorder="1" applyAlignment="1">
      <alignment horizontal="center" vertical="center"/>
    </xf>
    <xf numFmtId="0" fontId="12" fillId="2" borderId="42" xfId="0" applyFont="1" applyFill="1" applyBorder="1" applyAlignment="1">
      <alignment horizontal="center" vertical="center" wrapText="1"/>
    </xf>
    <xf numFmtId="0" fontId="4" fillId="2" borderId="42"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4" fillId="2" borderId="42" xfId="0" applyFont="1" applyFill="1" applyBorder="1" applyAlignment="1">
      <alignment horizontal="center" vertical="center" wrapText="1"/>
    </xf>
    <xf numFmtId="0" fontId="4" fillId="2" borderId="42" xfId="1" applyFont="1" applyFill="1" applyBorder="1" applyAlignment="1">
      <alignment horizontal="center" vertical="center" wrapText="1"/>
    </xf>
    <xf numFmtId="0" fontId="4" fillId="2" borderId="12" xfId="1" applyFont="1" applyFill="1" applyBorder="1" applyAlignment="1">
      <alignment horizontal="center" vertical="center" wrapText="1"/>
    </xf>
    <xf numFmtId="0" fontId="41" fillId="2" borderId="12" xfId="0" applyFont="1" applyFill="1" applyBorder="1" applyAlignment="1" applyProtection="1">
      <alignment horizontal="center" vertical="center" wrapText="1"/>
      <protection locked="0"/>
    </xf>
    <xf numFmtId="0" fontId="12" fillId="2" borderId="42" xfId="0" applyFont="1" applyFill="1" applyBorder="1" applyAlignment="1">
      <alignment horizontal="center" vertical="center"/>
    </xf>
    <xf numFmtId="14" fontId="12" fillId="2" borderId="42" xfId="0" applyNumberFormat="1"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8" borderId="10" xfId="0" applyFont="1" applyFill="1" applyBorder="1" applyAlignment="1">
      <alignment horizontal="center" vertical="center" wrapText="1"/>
    </xf>
    <xf numFmtId="0" fontId="38" fillId="2" borderId="3" xfId="0" applyFont="1" applyFill="1" applyBorder="1" applyAlignment="1">
      <alignment horizontal="center" vertical="center" wrapText="1"/>
    </xf>
    <xf numFmtId="9" fontId="12" fillId="2" borderId="3" xfId="2" applyFont="1" applyFill="1" applyBorder="1" applyAlignment="1">
      <alignment horizontal="center" vertical="center" wrapText="1"/>
    </xf>
    <xf numFmtId="0" fontId="12" fillId="2" borderId="42" xfId="0" applyFont="1" applyFill="1" applyBorder="1" applyAlignment="1" applyProtection="1">
      <alignment horizontal="center" vertical="center" wrapText="1"/>
      <protection locked="0"/>
    </xf>
    <xf numFmtId="0" fontId="4" fillId="8" borderId="42" xfId="0" applyFont="1" applyFill="1" applyBorder="1" applyAlignment="1">
      <alignment horizontal="center" vertical="center" wrapText="1"/>
    </xf>
    <xf numFmtId="9" fontId="4" fillId="2" borderId="42" xfId="2" applyFont="1" applyFill="1" applyBorder="1" applyAlignment="1" applyProtection="1">
      <alignment horizontal="center" vertical="center" wrapText="1"/>
    </xf>
    <xf numFmtId="10" fontId="4" fillId="2" borderId="42" xfId="2" applyNumberFormat="1" applyFont="1" applyFill="1" applyBorder="1" applyAlignment="1" applyProtection="1">
      <alignment horizontal="center" vertical="center" wrapText="1"/>
    </xf>
    <xf numFmtId="14" fontId="12" fillId="2" borderId="12" xfId="0" applyNumberFormat="1" applyFont="1" applyFill="1" applyBorder="1" applyAlignment="1">
      <alignment horizontal="center" vertical="center" wrapText="1"/>
    </xf>
    <xf numFmtId="0" fontId="12" fillId="2" borderId="16" xfId="0" applyFont="1" applyFill="1" applyBorder="1" applyAlignment="1">
      <alignment horizontal="center" vertical="center" wrapText="1"/>
    </xf>
    <xf numFmtId="0" fontId="38" fillId="2" borderId="12" xfId="0" applyFont="1" applyFill="1" applyBorder="1" applyAlignment="1">
      <alignment horizontal="center" vertical="center"/>
    </xf>
    <xf numFmtId="0" fontId="39" fillId="0" borderId="0" xfId="0" applyFont="1"/>
    <xf numFmtId="0" fontId="39" fillId="2" borderId="0" xfId="0" applyFont="1" applyFill="1"/>
    <xf numFmtId="0" fontId="39" fillId="23" borderId="3" xfId="0" applyFont="1" applyFill="1" applyBorder="1" applyAlignment="1">
      <alignment horizontal="center" vertical="center"/>
    </xf>
    <xf numFmtId="0" fontId="39" fillId="23" borderId="3" xfId="0" applyFont="1" applyFill="1" applyBorder="1" applyAlignment="1">
      <alignment horizontal="center" vertical="center" wrapText="1"/>
    </xf>
    <xf numFmtId="0" fontId="39" fillId="2" borderId="3" xfId="0" applyFont="1" applyFill="1" applyBorder="1" applyAlignment="1">
      <alignment horizontal="center" vertical="center" wrapText="1"/>
    </xf>
    <xf numFmtId="0" fontId="39" fillId="0" borderId="3" xfId="0" applyFont="1" applyBorder="1" applyAlignment="1">
      <alignment horizontal="center" vertical="center" wrapText="1"/>
    </xf>
    <xf numFmtId="0" fontId="3" fillId="5" borderId="3" xfId="0" applyFont="1" applyFill="1" applyBorder="1" applyAlignment="1">
      <alignment horizontal="center" vertical="center" wrapText="1"/>
    </xf>
    <xf numFmtId="0" fontId="39" fillId="2" borderId="3" xfId="0" applyFont="1" applyFill="1" applyBorder="1"/>
    <xf numFmtId="0" fontId="12" fillId="0" borderId="0" xfId="0" applyFont="1"/>
    <xf numFmtId="0" fontId="39" fillId="0" borderId="0" xfId="0" applyFont="1" applyAlignment="1">
      <alignment horizontal="center"/>
    </xf>
    <xf numFmtId="0" fontId="12" fillId="0" borderId="0" xfId="0" applyFont="1" applyAlignment="1">
      <alignment horizontal="center"/>
    </xf>
    <xf numFmtId="0" fontId="44" fillId="0" borderId="0" xfId="0" applyFont="1" applyAlignment="1">
      <alignment horizontal="center" vertical="center"/>
    </xf>
    <xf numFmtId="9" fontId="12" fillId="0" borderId="0" xfId="2" applyFont="1" applyAlignment="1">
      <alignment horizontal="center"/>
    </xf>
    <xf numFmtId="0" fontId="4" fillId="2" borderId="0" xfId="0" applyFont="1" applyFill="1" applyAlignment="1">
      <alignment horizontal="center" vertical="center" wrapText="1"/>
    </xf>
    <xf numFmtId="0" fontId="12" fillId="2" borderId="0" xfId="0" applyFont="1" applyFill="1" applyAlignment="1">
      <alignment horizontal="center"/>
    </xf>
    <xf numFmtId="0" fontId="12" fillId="2" borderId="0" xfId="0" applyFont="1" applyFill="1"/>
    <xf numFmtId="0" fontId="30" fillId="18" borderId="3"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12" fillId="2" borderId="3" xfId="0" applyFont="1" applyFill="1" applyBorder="1"/>
    <xf numFmtId="0" fontId="4" fillId="2" borderId="3" xfId="1" applyFont="1" applyFill="1" applyBorder="1" applyAlignment="1">
      <alignment horizontal="justify" vertical="center" wrapText="1"/>
    </xf>
    <xf numFmtId="0" fontId="46" fillId="19" borderId="3" xfId="1" applyFont="1" applyFill="1" applyBorder="1" applyAlignment="1">
      <alignment horizontal="center" vertical="center" wrapText="1"/>
    </xf>
    <xf numFmtId="0" fontId="47" fillId="19" borderId="3" xfId="1" applyFont="1" applyFill="1" applyBorder="1" applyAlignment="1">
      <alignment horizontal="center" vertical="center" wrapText="1"/>
    </xf>
    <xf numFmtId="0" fontId="12" fillId="2" borderId="3" xfId="0" applyFont="1" applyFill="1" applyBorder="1" applyAlignment="1">
      <alignment horizontal="center"/>
    </xf>
    <xf numFmtId="0" fontId="3" fillId="2" borderId="3" xfId="1" applyFont="1" applyFill="1" applyBorder="1" applyAlignment="1">
      <alignment horizontal="center" vertical="center" wrapText="1"/>
    </xf>
    <xf numFmtId="9" fontId="4" fillId="2" borderId="3" xfId="2" applyFont="1" applyFill="1" applyBorder="1" applyAlignment="1">
      <alignment horizontal="center" vertical="center" wrapText="1"/>
    </xf>
    <xf numFmtId="0" fontId="4" fillId="2" borderId="3" xfId="0" applyFont="1" applyFill="1" applyBorder="1" applyAlignment="1">
      <alignment horizontal="center" vertical="center"/>
    </xf>
    <xf numFmtId="9" fontId="12" fillId="2" borderId="0" xfId="2" applyFont="1" applyFill="1" applyAlignment="1">
      <alignment horizontal="center"/>
    </xf>
    <xf numFmtId="0" fontId="39" fillId="2" borderId="1" xfId="0" applyFont="1" applyFill="1" applyBorder="1"/>
    <xf numFmtId="0" fontId="39" fillId="2" borderId="4" xfId="0" applyFont="1" applyFill="1" applyBorder="1"/>
    <xf numFmtId="0" fontId="39" fillId="2" borderId="6" xfId="0" applyFont="1" applyFill="1" applyBorder="1"/>
    <xf numFmtId="0" fontId="39" fillId="6" borderId="3" xfId="0" applyFont="1" applyFill="1" applyBorder="1" applyAlignment="1">
      <alignment horizontal="center" vertical="center"/>
    </xf>
    <xf numFmtId="0" fontId="39" fillId="2" borderId="3" xfId="0" applyFont="1" applyFill="1" applyBorder="1" applyAlignment="1">
      <alignment horizontal="center" vertical="center"/>
    </xf>
    <xf numFmtId="0" fontId="12" fillId="2" borderId="0" xfId="0" applyFont="1" applyFill="1" applyAlignment="1">
      <alignment horizontal="center" vertical="center" wrapText="1"/>
    </xf>
    <xf numFmtId="0" fontId="12" fillId="2" borderId="3" xfId="1" applyFont="1" applyFill="1" applyBorder="1" applyAlignment="1">
      <alignment horizontal="center" vertical="center" wrapText="1"/>
    </xf>
    <xf numFmtId="0" fontId="12" fillId="8" borderId="3" xfId="0" applyFont="1" applyFill="1" applyBorder="1" applyAlignment="1">
      <alignment horizontal="center" vertical="center" wrapText="1"/>
    </xf>
    <xf numFmtId="9" fontId="12" fillId="8" borderId="3" xfId="2" applyFont="1" applyFill="1" applyBorder="1" applyAlignment="1">
      <alignment horizontal="center" vertical="center" wrapText="1"/>
    </xf>
    <xf numFmtId="9" fontId="12" fillId="2" borderId="3" xfId="2" applyFont="1" applyFill="1" applyBorder="1" applyAlignment="1" applyProtection="1">
      <alignment horizontal="center" vertical="center" wrapText="1"/>
    </xf>
    <xf numFmtId="10" fontId="12" fillId="2" borderId="3" xfId="2" applyNumberFormat="1" applyFont="1" applyFill="1" applyBorder="1" applyAlignment="1" applyProtection="1">
      <alignment horizontal="center" vertical="center" wrapText="1"/>
    </xf>
    <xf numFmtId="0" fontId="48" fillId="2" borderId="3" xfId="0" applyFont="1" applyFill="1" applyBorder="1" applyAlignment="1" applyProtection="1">
      <alignment horizontal="center" vertical="center" wrapText="1"/>
      <protection locked="0"/>
    </xf>
    <xf numFmtId="9" fontId="12" fillId="8" borderId="3" xfId="0" applyNumberFormat="1" applyFont="1" applyFill="1" applyBorder="1" applyAlignment="1">
      <alignment horizontal="center" vertical="center" wrapText="1"/>
    </xf>
    <xf numFmtId="9" fontId="12" fillId="22" borderId="3" xfId="2" applyFont="1" applyFill="1" applyBorder="1" applyAlignment="1" applyProtection="1">
      <alignment horizontal="center" vertical="center" wrapText="1"/>
    </xf>
    <xf numFmtId="0" fontId="12" fillId="22" borderId="3" xfId="0" applyFont="1" applyFill="1" applyBorder="1" applyAlignment="1">
      <alignment horizontal="center" vertical="center" wrapText="1"/>
    </xf>
    <xf numFmtId="10" fontId="12" fillId="22" borderId="3" xfId="2" applyNumberFormat="1" applyFont="1" applyFill="1" applyBorder="1" applyAlignment="1" applyProtection="1">
      <alignment horizontal="center" vertical="center" wrapText="1"/>
    </xf>
    <xf numFmtId="0" fontId="12" fillId="2" borderId="3" xfId="0" applyFont="1" applyFill="1" applyBorder="1" applyAlignment="1" applyProtection="1">
      <alignment horizontal="justify" vertical="center" wrapText="1"/>
      <protection locked="0"/>
    </xf>
    <xf numFmtId="0" fontId="12" fillId="0" borderId="3" xfId="0" applyFont="1" applyBorder="1" applyAlignment="1">
      <alignment horizontal="justify" vertical="center" wrapText="1"/>
    </xf>
    <xf numFmtId="0" fontId="12" fillId="0" borderId="3" xfId="0" applyFont="1" applyBorder="1" applyAlignment="1" applyProtection="1">
      <alignment horizontal="justify" vertical="center" wrapText="1"/>
      <protection locked="0"/>
    </xf>
    <xf numFmtId="0" fontId="10" fillId="0" borderId="0" xfId="0" applyFont="1"/>
    <xf numFmtId="0" fontId="14" fillId="2" borderId="3" xfId="0" applyFont="1" applyFill="1" applyBorder="1" applyAlignment="1">
      <alignment horizontal="center" vertical="center"/>
    </xf>
    <xf numFmtId="0" fontId="11" fillId="5" borderId="13" xfId="0" applyFont="1" applyFill="1" applyBorder="1" applyAlignment="1">
      <alignment horizontal="center" vertical="center" wrapText="1"/>
    </xf>
    <xf numFmtId="0" fontId="13" fillId="2" borderId="58" xfId="0" applyFont="1" applyFill="1" applyBorder="1" applyAlignment="1">
      <alignment horizontal="center" vertical="center"/>
    </xf>
    <xf numFmtId="0" fontId="13" fillId="2" borderId="59" xfId="1" applyFont="1" applyFill="1" applyBorder="1" applyAlignment="1">
      <alignment horizontal="center" vertical="center" wrapText="1"/>
    </xf>
    <xf numFmtId="0" fontId="11" fillId="2" borderId="59" xfId="1" applyFont="1" applyFill="1" applyBorder="1" applyAlignment="1">
      <alignment horizontal="center" vertical="center" wrapText="1"/>
    </xf>
    <xf numFmtId="0" fontId="10" fillId="2" borderId="37" xfId="0" applyFont="1" applyFill="1" applyBorder="1" applyAlignment="1">
      <alignment horizontal="center"/>
    </xf>
    <xf numFmtId="0" fontId="10" fillId="2" borderId="14" xfId="0" applyFont="1" applyFill="1" applyBorder="1" applyAlignment="1">
      <alignment horizontal="center"/>
    </xf>
    <xf numFmtId="0" fontId="8" fillId="2" borderId="14" xfId="0" applyFont="1" applyFill="1" applyBorder="1" applyAlignment="1">
      <alignment horizontal="center" vertical="center" wrapText="1"/>
    </xf>
    <xf numFmtId="0" fontId="13" fillId="2" borderId="37" xfId="1" applyFont="1" applyFill="1" applyBorder="1" applyAlignment="1">
      <alignment horizontal="center" vertical="center" wrapText="1"/>
    </xf>
    <xf numFmtId="0" fontId="33" fillId="19" borderId="60" xfId="1" applyFont="1" applyFill="1" applyBorder="1" applyAlignment="1">
      <alignment horizontal="center" vertical="center" wrapText="1"/>
    </xf>
    <xf numFmtId="0" fontId="33" fillId="19" borderId="31" xfId="1" applyFont="1" applyFill="1" applyBorder="1" applyAlignment="1">
      <alignment horizontal="center" vertical="center" wrapText="1"/>
    </xf>
    <xf numFmtId="0" fontId="32" fillId="19" borderId="38" xfId="1" applyFont="1" applyFill="1" applyBorder="1" applyAlignment="1">
      <alignment horizontal="center" vertical="center" wrapText="1"/>
    </xf>
    <xf numFmtId="0" fontId="32" fillId="19" borderId="36" xfId="1" applyFont="1" applyFill="1" applyBorder="1" applyAlignment="1">
      <alignment horizontal="center" vertical="center" wrapText="1"/>
    </xf>
    <xf numFmtId="0" fontId="13" fillId="2" borderId="59" xfId="1" applyFont="1" applyFill="1" applyBorder="1" applyAlignment="1">
      <alignment horizontal="justify" vertical="center" wrapText="1"/>
    </xf>
    <xf numFmtId="0" fontId="13" fillId="2" borderId="59" xfId="0" applyFont="1" applyFill="1" applyBorder="1" applyAlignment="1">
      <alignment horizontal="justify" vertical="center" wrapText="1"/>
    </xf>
    <xf numFmtId="0" fontId="10" fillId="2" borderId="37" xfId="0" applyFont="1" applyFill="1" applyBorder="1"/>
    <xf numFmtId="0" fontId="10" fillId="2" borderId="36" xfId="0" applyFont="1" applyFill="1" applyBorder="1"/>
    <xf numFmtId="0" fontId="6" fillId="0" borderId="0" xfId="0" applyFont="1"/>
    <xf numFmtId="0" fontId="0" fillId="2" borderId="6" xfId="0" applyFill="1" applyBorder="1"/>
    <xf numFmtId="0" fontId="0" fillId="2" borderId="4" xfId="0" applyFill="1" applyBorder="1"/>
    <xf numFmtId="0" fontId="0" fillId="2" borderId="1" xfId="0" applyFill="1" applyBorder="1"/>
    <xf numFmtId="0" fontId="3" fillId="5" borderId="13" xfId="0" applyFont="1" applyFill="1" applyBorder="1" applyAlignment="1">
      <alignment horizontal="center" vertical="center" wrapText="1"/>
    </xf>
    <xf numFmtId="0" fontId="30" fillId="18" borderId="13"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30" fillId="18" borderId="24" xfId="0" applyFont="1" applyFill="1" applyBorder="1" applyAlignment="1">
      <alignment horizontal="center" vertical="center" wrapText="1"/>
    </xf>
    <xf numFmtId="0" fontId="3" fillId="5" borderId="16" xfId="0" applyFont="1" applyFill="1" applyBorder="1" applyAlignment="1">
      <alignment horizontal="center" vertical="center" wrapText="1"/>
    </xf>
    <xf numFmtId="0" fontId="30" fillId="18" borderId="16" xfId="0" applyFont="1" applyFill="1" applyBorder="1" applyAlignment="1">
      <alignment horizontal="center" vertical="center" wrapText="1"/>
    </xf>
    <xf numFmtId="0" fontId="46" fillId="19" borderId="36" xfId="1" applyFont="1" applyFill="1" applyBorder="1" applyAlignment="1">
      <alignment horizontal="center" vertical="center" wrapText="1"/>
    </xf>
    <xf numFmtId="0" fontId="46" fillId="19" borderId="38" xfId="1" applyFont="1" applyFill="1" applyBorder="1" applyAlignment="1">
      <alignment horizontal="center" vertical="center" wrapText="1"/>
    </xf>
    <xf numFmtId="0" fontId="47" fillId="19" borderId="31" xfId="1" applyFont="1" applyFill="1" applyBorder="1" applyAlignment="1">
      <alignment horizontal="center" vertical="center" wrapText="1"/>
    </xf>
    <xf numFmtId="0" fontId="47" fillId="19" borderId="60" xfId="1" applyFont="1" applyFill="1" applyBorder="1" applyAlignment="1">
      <alignment horizontal="center" vertical="center" wrapText="1"/>
    </xf>
    <xf numFmtId="0" fontId="4" fillId="2" borderId="37" xfId="1"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59" xfId="1" applyFont="1" applyFill="1" applyBorder="1" applyAlignment="1">
      <alignment horizontal="center" vertical="center" wrapText="1"/>
    </xf>
    <xf numFmtId="0" fontId="4" fillId="2" borderId="59" xfId="1" applyFont="1" applyFill="1" applyBorder="1" applyAlignment="1">
      <alignment horizontal="center" vertical="center" wrapText="1"/>
    </xf>
    <xf numFmtId="0" fontId="4" fillId="2" borderId="6" xfId="0" applyFont="1" applyFill="1" applyBorder="1" applyAlignment="1" applyProtection="1">
      <alignment horizontal="center" vertical="center" wrapText="1"/>
      <protection locked="0"/>
    </xf>
    <xf numFmtId="9" fontId="4" fillId="2" borderId="12" xfId="0" applyNumberFormat="1" applyFont="1" applyFill="1" applyBorder="1" applyAlignment="1">
      <alignment horizontal="center" vertical="center" wrapText="1"/>
    </xf>
    <xf numFmtId="9" fontId="12" fillId="2" borderId="12" xfId="0" applyNumberFormat="1" applyFont="1" applyFill="1" applyBorder="1" applyAlignment="1">
      <alignment horizontal="center" vertical="center" wrapText="1"/>
    </xf>
    <xf numFmtId="166" fontId="4" fillId="2" borderId="12" xfId="0" applyNumberFormat="1" applyFont="1" applyFill="1" applyBorder="1" applyAlignment="1">
      <alignment horizontal="center" vertical="center" wrapText="1"/>
    </xf>
    <xf numFmtId="0" fontId="4" fillId="2" borderId="9" xfId="0" applyFont="1" applyFill="1" applyBorder="1" applyAlignment="1" applyProtection="1">
      <alignment horizontal="center" vertical="center" wrapText="1"/>
      <protection locked="0"/>
    </xf>
    <xf numFmtId="9" fontId="12" fillId="2" borderId="3" xfId="0" applyNumberFormat="1" applyFont="1" applyFill="1" applyBorder="1" applyAlignment="1">
      <alignment horizontal="center" vertical="center" wrapText="1"/>
    </xf>
    <xf numFmtId="9" fontId="4" fillId="2" borderId="3" xfId="0" applyNumberFormat="1" applyFont="1" applyFill="1" applyBorder="1" applyAlignment="1">
      <alignment horizontal="center" vertical="center" wrapText="1"/>
    </xf>
    <xf numFmtId="165" fontId="4" fillId="2" borderId="3" xfId="2" applyNumberFormat="1" applyFont="1" applyFill="1" applyBorder="1" applyAlignment="1" applyProtection="1">
      <alignment horizontal="center" vertical="center" wrapText="1"/>
    </xf>
    <xf numFmtId="0" fontId="12" fillId="2" borderId="10" xfId="0" applyFont="1" applyFill="1" applyBorder="1" applyAlignment="1" applyProtection="1">
      <alignment horizontal="center" vertical="center" wrapText="1"/>
      <protection locked="0"/>
    </xf>
    <xf numFmtId="166" fontId="4" fillId="2" borderId="3" xfId="0" applyNumberFormat="1" applyFont="1" applyFill="1" applyBorder="1" applyAlignment="1">
      <alignment horizontal="center" vertical="center" wrapText="1"/>
    </xf>
    <xf numFmtId="0" fontId="4" fillId="2" borderId="59" xfId="0" applyFont="1" applyFill="1" applyBorder="1" applyAlignment="1">
      <alignment horizontal="center" vertical="center" wrapText="1"/>
    </xf>
    <xf numFmtId="0" fontId="40" fillId="2" borderId="7" xfId="0" applyFont="1" applyFill="1" applyBorder="1" applyAlignment="1" applyProtection="1">
      <alignment horizontal="center" vertical="center" wrapText="1"/>
      <protection locked="0"/>
    </xf>
    <xf numFmtId="0" fontId="40" fillId="2" borderId="10" xfId="0" applyFont="1" applyFill="1" applyBorder="1" applyAlignment="1" applyProtection="1">
      <alignment horizontal="center" vertical="center" wrapText="1"/>
      <protection locked="0"/>
    </xf>
    <xf numFmtId="0" fontId="43" fillId="2" borderId="1" xfId="0" applyFont="1" applyFill="1" applyBorder="1" applyAlignment="1">
      <alignment horizontal="center" vertical="center" wrapText="1"/>
    </xf>
    <xf numFmtId="0" fontId="43" fillId="2" borderId="2" xfId="0" applyFont="1" applyFill="1" applyBorder="1" applyAlignment="1">
      <alignment horizontal="center" vertical="center" wrapText="1"/>
    </xf>
    <xf numFmtId="0" fontId="3" fillId="0" borderId="3" xfId="0" applyFont="1" applyBorder="1" applyAlignment="1">
      <alignment horizontal="center" vertical="center" wrapText="1"/>
    </xf>
    <xf numFmtId="0" fontId="43" fillId="2" borderId="0" xfId="0" applyFont="1" applyFill="1" applyAlignment="1">
      <alignment horizontal="center" vertical="center" wrapText="1"/>
    </xf>
    <xf numFmtId="0" fontId="43" fillId="0" borderId="0" xfId="0" applyFont="1" applyAlignment="1">
      <alignment horizontal="center" vertical="center" wrapText="1"/>
    </xf>
    <xf numFmtId="0" fontId="43" fillId="2" borderId="4" xfId="0" applyFont="1" applyFill="1" applyBorder="1" applyAlignment="1">
      <alignment horizontal="center" vertical="center" wrapText="1"/>
    </xf>
    <xf numFmtId="0" fontId="43" fillId="2" borderId="5" xfId="0" applyFont="1" applyFill="1" applyBorder="1" applyAlignment="1">
      <alignment horizontal="center" vertical="center" wrapText="1"/>
    </xf>
    <xf numFmtId="0" fontId="4" fillId="0" borderId="3" xfId="0" applyFont="1" applyBorder="1" applyAlignment="1">
      <alignment horizontal="center" vertical="center" wrapText="1"/>
    </xf>
    <xf numFmtId="0" fontId="43" fillId="2" borderId="6" xfId="0" applyFont="1" applyFill="1" applyBorder="1" applyAlignment="1">
      <alignment horizontal="center" vertical="center" wrapText="1"/>
    </xf>
    <xf numFmtId="0" fontId="43" fillId="2" borderId="7" xfId="0" applyFont="1" applyFill="1" applyBorder="1" applyAlignment="1">
      <alignment horizontal="center" vertical="center" wrapText="1"/>
    </xf>
    <xf numFmtId="164" fontId="4" fillId="0" borderId="3" xfId="0" applyNumberFormat="1" applyFont="1" applyBorder="1" applyAlignment="1">
      <alignment horizontal="center" vertical="center" wrapText="1"/>
    </xf>
    <xf numFmtId="0" fontId="39" fillId="0" borderId="0" xfId="0" applyFont="1" applyAlignment="1">
      <alignment horizontal="center" vertical="center" wrapText="1"/>
    </xf>
    <xf numFmtId="0" fontId="44" fillId="0" borderId="0" xfId="0" applyFont="1" applyAlignment="1">
      <alignment horizontal="center" vertical="center" wrapText="1"/>
    </xf>
    <xf numFmtId="0" fontId="12" fillId="2" borderId="36" xfId="0" applyFont="1" applyFill="1" applyBorder="1" applyAlignment="1">
      <alignment horizontal="center" vertical="center" wrapText="1"/>
    </xf>
    <xf numFmtId="0" fontId="12" fillId="2" borderId="37"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4" fillId="2" borderId="58" xfId="0" applyFont="1" applyFill="1" applyBorder="1" applyAlignment="1">
      <alignment horizontal="center" vertical="center" wrapText="1"/>
    </xf>
    <xf numFmtId="0" fontId="38" fillId="2" borderId="12" xfId="0" applyFont="1" applyFill="1" applyBorder="1" applyAlignment="1">
      <alignment horizontal="center" vertical="center" wrapText="1"/>
    </xf>
    <xf numFmtId="0" fontId="10" fillId="2" borderId="49" xfId="0" applyFont="1" applyFill="1" applyBorder="1"/>
    <xf numFmtId="0" fontId="0" fillId="0" borderId="49" xfId="0" applyBorder="1"/>
    <xf numFmtId="0" fontId="12" fillId="2" borderId="23" xfId="0" applyFont="1" applyFill="1" applyBorder="1"/>
    <xf numFmtId="0" fontId="4" fillId="2" borderId="51" xfId="0" applyFont="1" applyFill="1" applyBorder="1" applyAlignment="1">
      <alignment horizontal="justify" vertical="center" wrapText="1"/>
    </xf>
    <xf numFmtId="0" fontId="4" fillId="2" borderId="51" xfId="1" applyFont="1" applyFill="1" applyBorder="1" applyAlignment="1">
      <alignment horizontal="justify" vertical="center" wrapText="1"/>
    </xf>
    <xf numFmtId="0" fontId="46" fillId="19" borderId="23" xfId="1" applyFont="1" applyFill="1" applyBorder="1" applyAlignment="1">
      <alignment horizontal="center" vertical="center" wrapText="1"/>
    </xf>
    <xf numFmtId="0" fontId="46" fillId="19" borderId="35" xfId="1" applyFont="1" applyFill="1" applyBorder="1" applyAlignment="1">
      <alignment horizontal="center" vertical="center" wrapText="1"/>
    </xf>
    <xf numFmtId="0" fontId="47" fillId="19" borderId="52" xfId="1" applyFont="1" applyFill="1" applyBorder="1" applyAlignment="1">
      <alignment horizontal="center" vertical="center" wrapText="1"/>
    </xf>
    <xf numFmtId="0" fontId="47" fillId="19" borderId="53" xfId="1" applyFont="1" applyFill="1" applyBorder="1" applyAlignment="1">
      <alignment horizontal="center" vertical="center" wrapText="1"/>
    </xf>
    <xf numFmtId="0" fontId="4" fillId="2" borderId="0" xfId="1" applyFont="1" applyFill="1" applyAlignment="1">
      <alignment horizontal="center" vertical="center" wrapText="1"/>
    </xf>
    <xf numFmtId="0" fontId="3" fillId="2" borderId="11" xfId="0" applyFont="1" applyFill="1" applyBorder="1" applyAlignment="1">
      <alignment horizontal="center" vertical="center" wrapText="1"/>
    </xf>
    <xf numFmtId="0" fontId="12" fillId="2" borderId="11" xfId="0" applyFont="1" applyFill="1" applyBorder="1" applyAlignment="1">
      <alignment horizontal="center"/>
    </xf>
    <xf numFmtId="0" fontId="3" fillId="2" borderId="51" xfId="1" applyFont="1" applyFill="1" applyBorder="1" applyAlignment="1">
      <alignment horizontal="center" vertical="center" wrapText="1"/>
    </xf>
    <xf numFmtId="0" fontId="4" fillId="2" borderId="51" xfId="1" applyFont="1" applyFill="1" applyBorder="1" applyAlignment="1">
      <alignment horizontal="center" vertical="center" wrapText="1"/>
    </xf>
    <xf numFmtId="0" fontId="4" fillId="2" borderId="54" xfId="0" applyFont="1" applyFill="1" applyBorder="1" applyAlignment="1">
      <alignment horizontal="center" vertical="center"/>
    </xf>
    <xf numFmtId="0" fontId="3" fillId="5" borderId="10" xfId="0" applyFont="1" applyFill="1" applyBorder="1" applyAlignment="1">
      <alignment horizontal="center" vertical="center" wrapText="1"/>
    </xf>
    <xf numFmtId="0" fontId="30" fillId="18" borderId="10" xfId="0" applyFont="1" applyFill="1" applyBorder="1" applyAlignment="1">
      <alignment horizontal="center" vertical="center" wrapText="1"/>
    </xf>
    <xf numFmtId="0" fontId="40" fillId="0" borderId="44" xfId="0" applyFont="1" applyBorder="1" applyAlignment="1" applyProtection="1">
      <alignment horizontal="center" vertical="center" wrapText="1"/>
      <protection locked="0"/>
    </xf>
    <xf numFmtId="0" fontId="12" fillId="0" borderId="16" xfId="0" applyFont="1" applyBorder="1" applyAlignment="1">
      <alignment horizontal="center" vertical="center" wrapText="1"/>
    </xf>
    <xf numFmtId="0" fontId="12" fillId="0" borderId="16" xfId="0" applyFont="1" applyBorder="1" applyAlignment="1" applyProtection="1">
      <alignment horizontal="center" vertical="center" wrapText="1"/>
      <protection locked="0"/>
    </xf>
    <xf numFmtId="0" fontId="4" fillId="0" borderId="42" xfId="0" applyFont="1" applyBorder="1" applyAlignment="1">
      <alignment horizontal="center" vertical="center" wrapText="1"/>
    </xf>
    <xf numFmtId="0" fontId="41" fillId="0" borderId="42" xfId="0" applyFont="1" applyBorder="1" applyAlignment="1" applyProtection="1">
      <alignment horizontal="center" vertical="center" wrapText="1"/>
      <protection locked="0"/>
    </xf>
    <xf numFmtId="14" fontId="12" fillId="0" borderId="16" xfId="0" applyNumberFormat="1" applyFont="1" applyBorder="1" applyAlignment="1">
      <alignment horizontal="center" vertical="center" wrapText="1"/>
    </xf>
    <xf numFmtId="0" fontId="12" fillId="2" borderId="65" xfId="0" applyFont="1" applyFill="1" applyBorder="1" applyAlignment="1">
      <alignment horizontal="center" vertical="center" wrapText="1"/>
    </xf>
    <xf numFmtId="0" fontId="40" fillId="0" borderId="8" xfId="0" applyFont="1" applyBorder="1" applyAlignment="1" applyProtection="1">
      <alignment horizontal="center" vertical="center" wrapText="1"/>
      <protection locked="0"/>
    </xf>
    <xf numFmtId="0" fontId="12" fillId="0" borderId="12" xfId="0" applyFont="1" applyBorder="1" applyAlignment="1" applyProtection="1">
      <alignment horizontal="center" vertical="center" wrapText="1"/>
      <protection locked="0"/>
    </xf>
    <xf numFmtId="0" fontId="12" fillId="0" borderId="12" xfId="0" applyFont="1" applyBorder="1" applyAlignment="1">
      <alignment horizontal="center" vertical="center" wrapText="1"/>
    </xf>
    <xf numFmtId="14" fontId="12" fillId="0" borderId="12" xfId="0" applyNumberFormat="1" applyFont="1" applyBorder="1" applyAlignment="1">
      <alignment horizontal="center" vertical="center" wrapText="1"/>
    </xf>
    <xf numFmtId="0" fontId="4" fillId="0" borderId="9" xfId="0" applyFont="1" applyBorder="1" applyAlignment="1" applyProtection="1">
      <alignment horizontal="center" vertical="center" wrapText="1"/>
      <protection locked="0"/>
    </xf>
    <xf numFmtId="0" fontId="12" fillId="0" borderId="10" xfId="0" applyFont="1" applyBorder="1" applyAlignment="1">
      <alignment horizontal="center" vertical="center" wrapText="1"/>
    </xf>
    <xf numFmtId="14" fontId="12" fillId="0" borderId="3" xfId="0" applyNumberFormat="1"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0" fillId="0" borderId="2" xfId="0" applyFont="1" applyBorder="1" applyAlignment="1" applyProtection="1">
      <alignment horizontal="center" vertical="center" wrapText="1"/>
      <protection locked="0"/>
    </xf>
    <xf numFmtId="0" fontId="12" fillId="0" borderId="10" xfId="0" applyFont="1" applyBorder="1" applyAlignment="1">
      <alignment horizontal="center" vertical="center"/>
    </xf>
    <xf numFmtId="0" fontId="12" fillId="0" borderId="14" xfId="0" applyFont="1" applyBorder="1" applyAlignment="1">
      <alignment horizontal="center" vertical="center" wrapText="1"/>
    </xf>
    <xf numFmtId="0" fontId="4" fillId="0" borderId="68" xfId="0" applyFont="1" applyBorder="1" applyAlignment="1" applyProtection="1">
      <alignment horizontal="center" vertical="center" wrapText="1"/>
      <protection locked="0"/>
    </xf>
    <xf numFmtId="0" fontId="40" fillId="0" borderId="46" xfId="0" applyFont="1" applyBorder="1" applyAlignment="1" applyProtection="1">
      <alignment horizontal="center" vertical="center" wrapText="1"/>
      <protection locked="0"/>
    </xf>
    <xf numFmtId="0" fontId="12" fillId="0" borderId="13" xfId="0" applyFont="1" applyBorder="1" applyAlignment="1">
      <alignment horizontal="center" vertical="center"/>
    </xf>
    <xf numFmtId="0" fontId="12" fillId="0" borderId="13" xfId="0" applyFont="1" applyBorder="1" applyAlignment="1">
      <alignment horizontal="center" vertical="center" wrapText="1"/>
    </xf>
    <xf numFmtId="0" fontId="12" fillId="0" borderId="14" xfId="0" applyFont="1" applyBorder="1" applyAlignment="1" applyProtection="1">
      <alignment horizontal="center" vertical="center" wrapText="1"/>
      <protection locked="0"/>
    </xf>
    <xf numFmtId="49" fontId="12" fillId="0" borderId="14" xfId="0" applyNumberFormat="1" applyFont="1" applyBorder="1" applyAlignment="1">
      <alignment horizontal="center" vertical="center" wrapText="1"/>
    </xf>
    <xf numFmtId="14" fontId="12" fillId="0" borderId="14" xfId="0" applyNumberFormat="1" applyFont="1" applyBorder="1" applyAlignment="1">
      <alignment horizontal="center" vertical="center" wrapText="1"/>
    </xf>
    <xf numFmtId="0" fontId="12" fillId="0" borderId="12" xfId="0" applyFont="1" applyBorder="1" applyAlignment="1">
      <alignment horizontal="center" vertical="center"/>
    </xf>
    <xf numFmtId="0" fontId="12" fillId="0" borderId="13" xfId="0" applyFont="1" applyBorder="1" applyAlignment="1" applyProtection="1">
      <alignment horizontal="center" vertical="center" wrapText="1"/>
      <protection locked="0"/>
    </xf>
    <xf numFmtId="0" fontId="4" fillId="2" borderId="40" xfId="0" applyFont="1" applyFill="1" applyBorder="1" applyAlignment="1" applyProtection="1">
      <alignment horizontal="center" vertical="center" wrapText="1"/>
      <protection locked="0"/>
    </xf>
    <xf numFmtId="0" fontId="40" fillId="2" borderId="44" xfId="0" applyFont="1" applyFill="1" applyBorder="1" applyAlignment="1" applyProtection="1">
      <alignment horizontal="center" vertical="center" wrapText="1"/>
      <protection locked="0"/>
    </xf>
    <xf numFmtId="0" fontId="12" fillId="2" borderId="16" xfId="0" applyFont="1" applyFill="1" applyBorder="1" applyAlignment="1" applyProtection="1">
      <alignment horizontal="center" vertical="center" wrapText="1"/>
      <protection locked="0"/>
    </xf>
    <xf numFmtId="0" fontId="39" fillId="2" borderId="42" xfId="0" applyFont="1" applyFill="1" applyBorder="1" applyAlignment="1">
      <alignment horizontal="center" vertical="center" wrapText="1"/>
    </xf>
    <xf numFmtId="0" fontId="12" fillId="2" borderId="16" xfId="0" applyFont="1" applyFill="1" applyBorder="1" applyAlignment="1">
      <alignment horizontal="center" vertical="center"/>
    </xf>
    <xf numFmtId="14" fontId="12" fillId="2" borderId="16" xfId="0" applyNumberFormat="1" applyFont="1" applyFill="1" applyBorder="1" applyAlignment="1">
      <alignment horizontal="center" vertical="center" wrapText="1"/>
    </xf>
    <xf numFmtId="0" fontId="12" fillId="2" borderId="17" xfId="0" applyFont="1" applyFill="1" applyBorder="1" applyAlignment="1">
      <alignment horizontal="center" vertical="center" wrapText="1"/>
    </xf>
    <xf numFmtId="0" fontId="40" fillId="2" borderId="8" xfId="0" applyFont="1" applyFill="1" applyBorder="1" applyAlignment="1" applyProtection="1">
      <alignment horizontal="center" vertical="center" wrapText="1"/>
      <protection locked="0"/>
    </xf>
    <xf numFmtId="0" fontId="12" fillId="2" borderId="21" xfId="0" applyFont="1" applyFill="1" applyBorder="1" applyAlignment="1">
      <alignment horizontal="center" vertical="center" wrapText="1"/>
    </xf>
    <xf numFmtId="0" fontId="4" fillId="2" borderId="66" xfId="0" applyFont="1" applyFill="1" applyBorder="1" applyAlignment="1" applyProtection="1">
      <alignment horizontal="center" vertical="center" wrapText="1"/>
      <protection locked="0"/>
    </xf>
    <xf numFmtId="0" fontId="40" fillId="2" borderId="41" xfId="0" applyFont="1" applyFill="1" applyBorder="1" applyAlignment="1" applyProtection="1">
      <alignment horizontal="center" vertical="center" wrapText="1"/>
      <protection locked="0"/>
    </xf>
    <xf numFmtId="0" fontId="12" fillId="2" borderId="61" xfId="0" applyFont="1" applyFill="1" applyBorder="1" applyAlignment="1">
      <alignment horizontal="center" vertical="center" wrapText="1"/>
    </xf>
    <xf numFmtId="0" fontId="12" fillId="2" borderId="61" xfId="0" applyFont="1" applyFill="1" applyBorder="1" applyAlignment="1">
      <alignment horizontal="center" vertical="center"/>
    </xf>
    <xf numFmtId="0" fontId="4" fillId="2" borderId="61" xfId="0" applyFont="1" applyFill="1" applyBorder="1" applyAlignment="1" applyProtection="1">
      <alignment horizontal="center" vertical="center" wrapText="1"/>
      <protection locked="0"/>
    </xf>
    <xf numFmtId="0" fontId="4" fillId="2" borderId="63" xfId="0" applyFont="1" applyFill="1" applyBorder="1" applyAlignment="1" applyProtection="1">
      <alignment horizontal="center" vertical="center" wrapText="1"/>
      <protection locked="0"/>
    </xf>
    <xf numFmtId="0" fontId="4" fillId="2" borderId="61" xfId="0" applyFont="1" applyFill="1" applyBorder="1" applyAlignment="1">
      <alignment horizontal="center" vertical="center" wrapText="1"/>
    </xf>
    <xf numFmtId="0" fontId="4" fillId="2" borderId="61" xfId="1" applyFont="1" applyFill="1" applyBorder="1" applyAlignment="1">
      <alignment horizontal="center" vertical="center" wrapText="1"/>
    </xf>
    <xf numFmtId="0" fontId="4" fillId="0" borderId="61" xfId="0" applyFont="1" applyBorder="1" applyAlignment="1">
      <alignment horizontal="center" vertical="center" wrapText="1"/>
    </xf>
    <xf numFmtId="0" fontId="40" fillId="2" borderId="62" xfId="0" applyFont="1" applyFill="1" applyBorder="1" applyAlignment="1" applyProtection="1">
      <alignment horizontal="center" vertical="center" wrapText="1"/>
      <protection locked="0"/>
    </xf>
    <xf numFmtId="0" fontId="12" fillId="2" borderId="61" xfId="0" applyFont="1" applyFill="1" applyBorder="1" applyAlignment="1" applyProtection="1">
      <alignment horizontal="center" vertical="center" wrapText="1"/>
      <protection locked="0"/>
    </xf>
    <xf numFmtId="0" fontId="4" fillId="8" borderId="61" xfId="0" applyFont="1" applyFill="1" applyBorder="1" applyAlignment="1">
      <alignment horizontal="center" vertical="center" wrapText="1"/>
    </xf>
    <xf numFmtId="9" fontId="4" fillId="2" borderId="61" xfId="2" applyFont="1" applyFill="1" applyBorder="1" applyAlignment="1" applyProtection="1">
      <alignment horizontal="center" vertical="center" wrapText="1"/>
    </xf>
    <xf numFmtId="10" fontId="4" fillId="2" borderId="61" xfId="2" applyNumberFormat="1" applyFont="1" applyFill="1" applyBorder="1" applyAlignment="1" applyProtection="1">
      <alignment horizontal="center" vertical="center" wrapText="1"/>
    </xf>
    <xf numFmtId="0" fontId="41" fillId="0" borderId="61" xfId="0" applyFont="1" applyBorder="1" applyAlignment="1" applyProtection="1">
      <alignment horizontal="center" vertical="center" wrapText="1"/>
      <protection locked="0"/>
    </xf>
    <xf numFmtId="0" fontId="39" fillId="2" borderId="61" xfId="0" applyFont="1" applyFill="1" applyBorder="1" applyAlignment="1">
      <alignment horizontal="center" vertical="center" wrapText="1"/>
    </xf>
    <xf numFmtId="14" fontId="12" fillId="2" borderId="61" xfId="0" applyNumberFormat="1" applyFont="1" applyFill="1" applyBorder="1" applyAlignment="1">
      <alignment horizontal="center" vertical="center" wrapText="1"/>
    </xf>
    <xf numFmtId="0" fontId="39" fillId="12" borderId="3" xfId="0" applyFont="1" applyFill="1" applyBorder="1" applyAlignment="1">
      <alignment horizontal="center" vertical="center" wrapText="1"/>
    </xf>
    <xf numFmtId="0" fontId="7" fillId="0" borderId="0" xfId="0" applyFont="1" applyAlignment="1">
      <alignment vertical="center"/>
    </xf>
    <xf numFmtId="0" fontId="36" fillId="7" borderId="33" xfId="0" applyFont="1" applyFill="1" applyBorder="1" applyAlignment="1">
      <alignment vertical="center" wrapText="1"/>
    </xf>
    <xf numFmtId="0" fontId="36" fillId="7" borderId="0" xfId="0" applyFont="1" applyFill="1" applyAlignment="1">
      <alignment vertical="center" wrapText="1"/>
    </xf>
    <xf numFmtId="0" fontId="36" fillId="7" borderId="37" xfId="0" applyFont="1" applyFill="1" applyBorder="1" applyAlignment="1">
      <alignment vertical="center" wrapText="1"/>
    </xf>
    <xf numFmtId="9" fontId="49" fillId="2" borderId="0" xfId="0" applyNumberFormat="1" applyFont="1" applyFill="1" applyAlignment="1" applyProtection="1">
      <alignment vertical="center" wrapText="1"/>
      <protection locked="0"/>
    </xf>
    <xf numFmtId="0" fontId="51" fillId="24" borderId="67" xfId="0" applyFont="1" applyFill="1" applyBorder="1" applyAlignment="1">
      <alignment horizontal="center" vertical="center" wrapText="1"/>
    </xf>
    <xf numFmtId="0" fontId="51" fillId="24" borderId="64" xfId="0" applyFont="1" applyFill="1" applyBorder="1" applyAlignment="1">
      <alignment horizontal="center" vertical="center" wrapText="1"/>
    </xf>
    <xf numFmtId="0" fontId="50" fillId="10" borderId="3" xfId="0" applyFont="1" applyFill="1" applyBorder="1" applyAlignment="1">
      <alignment horizontal="center" vertical="center"/>
    </xf>
    <xf numFmtId="9" fontId="4" fillId="8" borderId="12" xfId="2" applyFont="1" applyFill="1" applyBorder="1" applyAlignment="1" applyProtection="1">
      <alignment horizontal="center" vertical="center" wrapText="1"/>
    </xf>
    <xf numFmtId="10" fontId="4" fillId="8" borderId="12" xfId="2" applyNumberFormat="1" applyFont="1" applyFill="1" applyBorder="1" applyAlignment="1" applyProtection="1">
      <alignment horizontal="center" vertical="center" wrapText="1"/>
    </xf>
    <xf numFmtId="10" fontId="4" fillId="8" borderId="3" xfId="2" applyNumberFormat="1" applyFont="1" applyFill="1" applyBorder="1" applyAlignment="1" applyProtection="1">
      <alignment horizontal="center" vertical="center" wrapText="1"/>
    </xf>
    <xf numFmtId="0" fontId="4" fillId="8" borderId="10" xfId="0" applyFont="1" applyFill="1" applyBorder="1" applyAlignment="1">
      <alignment horizontal="center" wrapText="1"/>
    </xf>
    <xf numFmtId="0" fontId="0" fillId="2" borderId="1" xfId="0" applyFill="1" applyBorder="1" applyAlignment="1">
      <alignment horizontal="center"/>
    </xf>
    <xf numFmtId="0" fontId="0" fillId="2" borderId="4" xfId="0" applyFill="1" applyBorder="1" applyAlignment="1">
      <alignment horizontal="center"/>
    </xf>
    <xf numFmtId="0" fontId="0" fillId="2" borderId="6" xfId="0" applyFill="1" applyBorder="1" applyAlignment="1">
      <alignment horizontal="center"/>
    </xf>
    <xf numFmtId="0" fontId="10" fillId="2" borderId="23" xfId="0" applyFont="1" applyFill="1" applyBorder="1" applyAlignment="1">
      <alignment horizontal="center"/>
    </xf>
    <xf numFmtId="0" fontId="14" fillId="0" borderId="0" xfId="0" applyFont="1" applyAlignment="1">
      <alignment horizontal="center" vertical="center"/>
    </xf>
    <xf numFmtId="0" fontId="10" fillId="0" borderId="0" xfId="0" applyFont="1" applyAlignment="1">
      <alignment horizontal="center"/>
    </xf>
    <xf numFmtId="0" fontId="4" fillId="0" borderId="3" xfId="1" applyFont="1" applyBorder="1" applyAlignment="1">
      <alignment horizontal="center" vertical="center" wrapText="1"/>
    </xf>
    <xf numFmtId="0" fontId="40" fillId="0" borderId="3" xfId="0" applyFont="1" applyBorder="1" applyAlignment="1" applyProtection="1">
      <alignment horizontal="center" vertical="center" wrapText="1"/>
      <protection locked="0"/>
    </xf>
    <xf numFmtId="9" fontId="4" fillId="0" borderId="3" xfId="2" applyFont="1" applyFill="1" applyBorder="1" applyAlignment="1" applyProtection="1">
      <alignment horizontal="center" vertical="center" wrapText="1"/>
    </xf>
    <xf numFmtId="10" fontId="4" fillId="0" borderId="3" xfId="2" applyNumberFormat="1" applyFont="1" applyFill="1" applyBorder="1" applyAlignment="1" applyProtection="1">
      <alignment horizontal="center" vertical="center" wrapText="1"/>
    </xf>
    <xf numFmtId="0" fontId="41" fillId="0" borderId="3" xfId="0" applyFont="1" applyBorder="1" applyAlignment="1" applyProtection="1">
      <alignment horizontal="center" vertical="center" wrapText="1"/>
      <protection locked="0"/>
    </xf>
    <xf numFmtId="14" fontId="12" fillId="0" borderId="3" xfId="0" applyNumberFormat="1" applyFont="1" applyBorder="1" applyAlignment="1">
      <alignment horizontal="center" vertical="center"/>
    </xf>
    <xf numFmtId="0" fontId="52" fillId="0" borderId="3" xfId="0" applyFont="1" applyBorder="1" applyAlignment="1">
      <alignment horizontal="center" vertical="center" wrapText="1"/>
    </xf>
    <xf numFmtId="0" fontId="36" fillId="7" borderId="3" xfId="0" applyFont="1" applyFill="1" applyBorder="1" applyAlignment="1">
      <alignment horizontal="center" vertical="center"/>
    </xf>
    <xf numFmtId="0" fontId="0" fillId="0" borderId="37" xfId="0" applyBorder="1"/>
    <xf numFmtId="0" fontId="0" fillId="0" borderId="38" xfId="0" applyBorder="1"/>
    <xf numFmtId="0" fontId="0" fillId="0" borderId="23" xfId="0" applyBorder="1"/>
    <xf numFmtId="0" fontId="0" fillId="0" borderId="35" xfId="0" applyBorder="1"/>
    <xf numFmtId="0" fontId="0" fillId="0" borderId="36" xfId="0" applyBorder="1"/>
    <xf numFmtId="0" fontId="54" fillId="25" borderId="48" xfId="0" applyFont="1" applyFill="1" applyBorder="1"/>
    <xf numFmtId="0" fontId="56" fillId="25" borderId="50" xfId="0" applyFont="1" applyFill="1" applyBorder="1"/>
    <xf numFmtId="14" fontId="56" fillId="0" borderId="50" xfId="0" applyNumberFormat="1" applyFont="1" applyBorder="1" applyAlignment="1">
      <alignment horizontal="center"/>
    </xf>
    <xf numFmtId="0" fontId="54" fillId="25" borderId="36" xfId="0" applyFont="1" applyFill="1" applyBorder="1"/>
    <xf numFmtId="0" fontId="56" fillId="25" borderId="38" xfId="0" applyFont="1" applyFill="1" applyBorder="1"/>
    <xf numFmtId="0" fontId="56" fillId="0" borderId="38" xfId="0" applyFont="1" applyBorder="1" applyAlignment="1">
      <alignment horizontal="center"/>
    </xf>
    <xf numFmtId="0" fontId="12" fillId="2" borderId="3" xfId="0" applyFont="1" applyFill="1" applyBorder="1" applyAlignment="1">
      <alignment horizontal="center" vertical="center" wrapText="1"/>
    </xf>
    <xf numFmtId="0" fontId="12" fillId="2" borderId="3" xfId="0" applyFont="1" applyFill="1" applyBorder="1" applyAlignment="1">
      <alignment horizontal="center" vertical="center"/>
    </xf>
    <xf numFmtId="0" fontId="12" fillId="2" borderId="0" xfId="0" applyFont="1" applyFill="1" applyAlignment="1">
      <alignment wrapText="1"/>
    </xf>
    <xf numFmtId="0" fontId="12" fillId="2" borderId="0" xfId="0" applyFont="1" applyFill="1" applyAlignment="1">
      <alignment horizontal="center" wrapText="1"/>
    </xf>
    <xf numFmtId="0" fontId="4" fillId="2" borderId="3" xfId="0" applyFont="1" applyFill="1" applyBorder="1" applyAlignment="1" applyProtection="1">
      <alignment horizontal="justify" vertical="center" wrapText="1"/>
      <protection locked="0"/>
    </xf>
    <xf numFmtId="0" fontId="52" fillId="22" borderId="12" xfId="0" applyFont="1" applyFill="1" applyBorder="1" applyAlignment="1">
      <alignment horizontal="center" vertical="center"/>
    </xf>
    <xf numFmtId="0" fontId="52" fillId="22" borderId="12" xfId="0" applyFont="1" applyFill="1" applyBorder="1" applyAlignment="1">
      <alignment horizontal="center" vertical="center" wrapText="1"/>
    </xf>
    <xf numFmtId="0" fontId="52" fillId="22" borderId="12" xfId="0" applyFont="1" applyFill="1" applyBorder="1" applyAlignment="1" applyProtection="1">
      <alignment horizontal="center" vertical="center" wrapText="1"/>
      <protection locked="0"/>
    </xf>
    <xf numFmtId="0" fontId="4" fillId="26" borderId="12" xfId="0" applyFont="1" applyFill="1" applyBorder="1" applyAlignment="1">
      <alignment horizontal="center" vertical="center" wrapText="1"/>
    </xf>
    <xf numFmtId="0" fontId="4" fillId="22" borderId="12" xfId="0" applyFont="1" applyFill="1" applyBorder="1" applyAlignment="1">
      <alignment horizontal="center" vertical="center" wrapText="1"/>
    </xf>
    <xf numFmtId="9" fontId="4" fillId="22" borderId="12" xfId="2" applyFont="1" applyFill="1" applyBorder="1" applyAlignment="1" applyProtection="1">
      <alignment horizontal="center" vertical="center" wrapText="1"/>
    </xf>
    <xf numFmtId="10" fontId="4" fillId="22" borderId="12" xfId="2" applyNumberFormat="1" applyFont="1" applyFill="1" applyBorder="1" applyAlignment="1" applyProtection="1">
      <alignment horizontal="center" vertical="center" wrapText="1"/>
    </xf>
    <xf numFmtId="0" fontId="41" fillId="22" borderId="12" xfId="0" applyFont="1" applyFill="1" applyBorder="1" applyAlignment="1" applyProtection="1">
      <alignment horizontal="center" vertical="center" wrapText="1"/>
      <protection locked="0"/>
    </xf>
    <xf numFmtId="0" fontId="4" fillId="22" borderId="3" xfId="0" applyFont="1" applyFill="1" applyBorder="1" applyAlignment="1" applyProtection="1">
      <alignment horizontal="justify" vertical="center" wrapText="1"/>
      <protection locked="0"/>
    </xf>
    <xf numFmtId="0" fontId="4" fillId="22" borderId="3" xfId="0" applyFont="1" applyFill="1" applyBorder="1" applyAlignment="1">
      <alignment horizontal="justify" vertical="center" wrapText="1"/>
    </xf>
    <xf numFmtId="14" fontId="52" fillId="0" borderId="3" xfId="0" applyNumberFormat="1" applyFont="1" applyFill="1" applyBorder="1" applyAlignment="1">
      <alignment horizontal="center" vertical="center"/>
    </xf>
    <xf numFmtId="0" fontId="52" fillId="0" borderId="3" xfId="0" applyFont="1" applyFill="1" applyBorder="1" applyAlignment="1">
      <alignment horizontal="center" vertical="center"/>
    </xf>
    <xf numFmtId="0" fontId="52" fillId="22" borderId="3" xfId="0" applyFont="1" applyFill="1" applyBorder="1" applyAlignment="1">
      <alignment horizontal="center" vertical="center"/>
    </xf>
    <xf numFmtId="0" fontId="52" fillId="22" borderId="3" xfId="0" applyFont="1" applyFill="1" applyBorder="1" applyAlignment="1">
      <alignment horizontal="center" vertical="center" wrapText="1"/>
    </xf>
    <xf numFmtId="0" fontId="52" fillId="22" borderId="3" xfId="0" applyFont="1" applyFill="1" applyBorder="1" applyAlignment="1" applyProtection="1">
      <alignment horizontal="center" vertical="center" wrapText="1"/>
      <protection locked="0"/>
    </xf>
    <xf numFmtId="0" fontId="4" fillId="26" borderId="3" xfId="0" applyFont="1" applyFill="1" applyBorder="1" applyAlignment="1">
      <alignment horizontal="center" vertical="center" wrapText="1"/>
    </xf>
    <xf numFmtId="0" fontId="4" fillId="22" borderId="3" xfId="0" applyFont="1" applyFill="1" applyBorder="1" applyAlignment="1">
      <alignment horizontal="center" vertical="center" wrapText="1"/>
    </xf>
    <xf numFmtId="9" fontId="4" fillId="22" borderId="3" xfId="2" applyFont="1" applyFill="1" applyBorder="1" applyAlignment="1" applyProtection="1">
      <alignment horizontal="center" vertical="center" wrapText="1"/>
    </xf>
    <xf numFmtId="10" fontId="4" fillId="22" borderId="3" xfId="2" applyNumberFormat="1" applyFont="1" applyFill="1" applyBorder="1" applyAlignment="1" applyProtection="1">
      <alignment horizontal="center" vertical="center" wrapText="1"/>
    </xf>
    <xf numFmtId="0" fontId="41" fillId="22" borderId="3" xfId="0" applyFont="1" applyFill="1" applyBorder="1" applyAlignment="1" applyProtection="1">
      <alignment horizontal="center" vertical="center" wrapText="1"/>
      <protection locked="0"/>
    </xf>
    <xf numFmtId="0" fontId="4" fillId="22" borderId="3" xfId="0" applyFont="1" applyFill="1" applyBorder="1" applyAlignment="1" applyProtection="1">
      <alignment horizontal="center" vertical="center" wrapText="1"/>
      <protection locked="0"/>
    </xf>
    <xf numFmtId="0" fontId="4" fillId="22" borderId="3" xfId="3" applyFont="1" applyFill="1" applyBorder="1" applyAlignment="1">
      <alignment horizontal="center" vertical="center" wrapText="1"/>
    </xf>
    <xf numFmtId="0" fontId="12" fillId="0" borderId="0" xfId="0" applyFont="1" applyFill="1"/>
    <xf numFmtId="0" fontId="12" fillId="0" borderId="3" xfId="0" applyFont="1" applyFill="1" applyBorder="1"/>
    <xf numFmtId="0" fontId="12" fillId="0" borderId="3" xfId="0" applyFont="1" applyFill="1" applyBorder="1" applyAlignment="1">
      <alignment horizontal="center" vertical="center"/>
    </xf>
    <xf numFmtId="0" fontId="12" fillId="0" borderId="3" xfId="0" applyFont="1" applyFill="1" applyBorder="1" applyAlignment="1">
      <alignment horizontal="center" vertical="center" wrapText="1"/>
    </xf>
    <xf numFmtId="0" fontId="12" fillId="0" borderId="0" xfId="0" applyFont="1" applyFill="1" applyAlignment="1">
      <alignment wrapText="1"/>
    </xf>
    <xf numFmtId="0" fontId="12" fillId="2" borderId="2" xfId="0" applyFont="1" applyFill="1" applyBorder="1" applyAlignment="1">
      <alignment horizontal="center" wrapText="1"/>
    </xf>
    <xf numFmtId="0" fontId="12" fillId="2" borderId="5" xfId="0" applyFont="1" applyFill="1" applyBorder="1" applyAlignment="1">
      <alignment horizontal="center" wrapText="1"/>
    </xf>
    <xf numFmtId="0" fontId="12" fillId="2" borderId="7" xfId="0" applyFont="1" applyFill="1" applyBorder="1" applyAlignment="1">
      <alignment horizontal="center" wrapText="1"/>
    </xf>
    <xf numFmtId="0" fontId="12" fillId="0" borderId="0" xfId="0" applyFont="1" applyAlignment="1">
      <alignment wrapText="1"/>
    </xf>
    <xf numFmtId="0" fontId="12" fillId="2" borderId="3" xfId="0" applyFont="1" applyFill="1" applyBorder="1" applyAlignment="1">
      <alignment wrapText="1"/>
    </xf>
    <xf numFmtId="0" fontId="52" fillId="22" borderId="10" xfId="0" applyFont="1" applyFill="1" applyBorder="1" applyAlignment="1">
      <alignment horizontal="center" vertical="center"/>
    </xf>
    <xf numFmtId="0" fontId="52" fillId="22" borderId="11" xfId="0" applyFont="1" applyFill="1" applyBorder="1" applyAlignment="1">
      <alignment horizontal="center" vertical="center"/>
    </xf>
    <xf numFmtId="0" fontId="12" fillId="2" borderId="10" xfId="0" applyFont="1" applyFill="1" applyBorder="1" applyAlignment="1">
      <alignment horizontal="center" vertical="center" wrapText="1"/>
    </xf>
    <xf numFmtId="0" fontId="12" fillId="2" borderId="10" xfId="0" applyFont="1" applyFill="1" applyBorder="1" applyAlignment="1">
      <alignment horizontal="center" vertical="center"/>
    </xf>
    <xf numFmtId="0" fontId="12" fillId="2" borderId="3" xfId="0" applyFont="1" applyFill="1" applyBorder="1" applyAlignment="1">
      <alignment horizontal="center" vertical="center" wrapText="1"/>
    </xf>
    <xf numFmtId="9" fontId="12" fillId="2" borderId="3" xfId="2" applyFont="1" applyFill="1" applyBorder="1" applyAlignment="1">
      <alignment horizontal="center" vertical="center" wrapText="1"/>
    </xf>
    <xf numFmtId="0" fontId="39" fillId="2" borderId="3" xfId="0" applyFont="1" applyFill="1" applyBorder="1" applyAlignment="1">
      <alignment horizontal="center" vertical="center" wrapText="1"/>
    </xf>
    <xf numFmtId="0" fontId="53" fillId="3" borderId="33" xfId="0" applyFont="1" applyFill="1" applyBorder="1" applyAlignment="1">
      <alignment horizontal="center" vertical="top"/>
    </xf>
    <xf numFmtId="0" fontId="53" fillId="3" borderId="34" xfId="0" applyFont="1" applyFill="1" applyBorder="1" applyAlignment="1">
      <alignment horizontal="center" vertical="top"/>
    </xf>
    <xf numFmtId="0" fontId="53" fillId="3" borderId="37" xfId="0" applyFont="1" applyFill="1" applyBorder="1" applyAlignment="1">
      <alignment horizontal="center" vertical="top"/>
    </xf>
    <xf numFmtId="0" fontId="53" fillId="3" borderId="38" xfId="0" applyFont="1" applyFill="1" applyBorder="1" applyAlignment="1">
      <alignment horizontal="center" vertical="top"/>
    </xf>
    <xf numFmtId="0" fontId="54" fillId="0" borderId="0" xfId="0" applyFont="1" applyAlignment="1">
      <alignment horizontal="center"/>
    </xf>
    <xf numFmtId="0" fontId="55" fillId="7" borderId="32" xfId="0" applyFont="1" applyFill="1" applyBorder="1" applyAlignment="1">
      <alignment horizontal="center" vertical="center" wrapText="1"/>
    </xf>
    <xf numFmtId="0" fontId="55" fillId="7" borderId="33" xfId="0" applyFont="1" applyFill="1" applyBorder="1" applyAlignment="1">
      <alignment horizontal="center" vertical="center" wrapText="1"/>
    </xf>
    <xf numFmtId="0" fontId="55" fillId="7" borderId="34" xfId="0" applyFont="1" applyFill="1" applyBorder="1" applyAlignment="1">
      <alignment horizontal="center" vertical="center" wrapText="1"/>
    </xf>
    <xf numFmtId="0" fontId="55" fillId="7" borderId="23" xfId="0" applyFont="1" applyFill="1" applyBorder="1" applyAlignment="1">
      <alignment horizontal="center" vertical="center" wrapText="1"/>
    </xf>
    <xf numFmtId="0" fontId="55" fillId="7" borderId="0" xfId="0" applyFont="1" applyFill="1" applyAlignment="1">
      <alignment horizontal="center" vertical="center" wrapText="1"/>
    </xf>
    <xf numFmtId="0" fontId="55" fillId="7" borderId="35" xfId="0" applyFont="1" applyFill="1" applyBorder="1" applyAlignment="1">
      <alignment horizontal="center" vertical="center" wrapText="1"/>
    </xf>
    <xf numFmtId="0" fontId="55" fillId="7" borderId="36" xfId="0" applyFont="1" applyFill="1" applyBorder="1" applyAlignment="1">
      <alignment horizontal="center" vertical="center" wrapText="1"/>
    </xf>
    <xf numFmtId="0" fontId="55" fillId="7" borderId="37" xfId="0" applyFont="1" applyFill="1" applyBorder="1" applyAlignment="1">
      <alignment horizontal="center" vertical="center" wrapText="1"/>
    </xf>
    <xf numFmtId="0" fontId="55" fillId="7" borderId="38"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39" fillId="23" borderId="3" xfId="0" applyFont="1" applyFill="1" applyBorder="1" applyAlignment="1">
      <alignment horizontal="center" vertical="center" wrapText="1"/>
    </xf>
    <xf numFmtId="9" fontId="12" fillId="2" borderId="3" xfId="2" applyFont="1" applyFill="1" applyBorder="1" applyAlignment="1">
      <alignment horizontal="center" vertical="center" wrapText="1"/>
    </xf>
    <xf numFmtId="0" fontId="39" fillId="0" borderId="3" xfId="0" applyFont="1" applyBorder="1" applyAlignment="1">
      <alignment horizontal="center" vertical="center" wrapText="1"/>
    </xf>
    <xf numFmtId="0" fontId="12" fillId="0" borderId="3"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0" fillId="18" borderId="3" xfId="0" applyFont="1" applyFill="1" applyBorder="1" applyAlignment="1">
      <alignment horizontal="center" vertical="center" textRotation="90" wrapText="1"/>
    </xf>
    <xf numFmtId="0" fontId="30" fillId="18" borderId="3" xfId="0" applyFont="1" applyFill="1" applyBorder="1" applyAlignment="1">
      <alignment horizontal="center" vertical="center" wrapText="1"/>
    </xf>
    <xf numFmtId="0" fontId="3" fillId="17" borderId="3" xfId="0" applyFont="1" applyFill="1" applyBorder="1" applyAlignment="1">
      <alignment horizontal="center" vertical="center" textRotation="90" wrapText="1"/>
    </xf>
    <xf numFmtId="9" fontId="3" fillId="5" borderId="3" xfId="2" applyFont="1" applyFill="1" applyBorder="1" applyAlignment="1">
      <alignment horizontal="center" vertical="center" textRotation="90" wrapText="1"/>
    </xf>
    <xf numFmtId="0" fontId="3" fillId="5" borderId="3" xfId="0" applyFont="1" applyFill="1" applyBorder="1" applyAlignment="1">
      <alignment horizontal="center" vertical="center" textRotation="90" wrapText="1"/>
    </xf>
    <xf numFmtId="0" fontId="46" fillId="5" borderId="3" xfId="0" applyFont="1" applyFill="1" applyBorder="1" applyAlignment="1">
      <alignment horizontal="center" vertical="center" wrapText="1"/>
    </xf>
    <xf numFmtId="0" fontId="30" fillId="21" borderId="3" xfId="0" applyFont="1" applyFill="1" applyBorder="1" applyAlignment="1">
      <alignment horizontal="center" vertical="center"/>
    </xf>
    <xf numFmtId="0" fontId="44" fillId="0" borderId="0" xfId="0" applyFont="1" applyAlignment="1">
      <alignment horizontal="center" vertical="center"/>
    </xf>
    <xf numFmtId="0" fontId="30" fillId="3" borderId="4" xfId="0" applyFont="1" applyFill="1" applyBorder="1" applyAlignment="1">
      <alignment horizontal="center" vertical="center" wrapText="1"/>
    </xf>
    <xf numFmtId="0" fontId="30" fillId="3" borderId="0" xfId="0" applyFont="1" applyFill="1" applyAlignment="1">
      <alignment horizontal="center" vertical="center" wrapText="1"/>
    </xf>
    <xf numFmtId="0" fontId="36" fillId="7" borderId="33" xfId="0" applyFont="1" applyFill="1" applyBorder="1" applyAlignment="1">
      <alignment horizontal="center" vertical="center" wrapText="1"/>
    </xf>
    <xf numFmtId="0" fontId="36" fillId="7" borderId="34" xfId="0" applyFont="1" applyFill="1" applyBorder="1" applyAlignment="1">
      <alignment horizontal="center" vertical="center" wrapText="1"/>
    </xf>
    <xf numFmtId="0" fontId="36" fillId="7" borderId="0" xfId="0" applyFont="1" applyFill="1" applyAlignment="1">
      <alignment horizontal="center" vertical="center" wrapText="1"/>
    </xf>
    <xf numFmtId="0" fontId="36" fillId="7" borderId="3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0" fillId="7" borderId="44" xfId="0" applyFont="1" applyFill="1" applyBorder="1" applyAlignment="1">
      <alignment horizontal="center" vertical="center" wrapText="1"/>
    </xf>
    <xf numFmtId="0" fontId="30" fillId="7" borderId="16" xfId="0" applyFont="1" applyFill="1" applyBorder="1" applyAlignment="1">
      <alignment horizontal="center" vertical="center" wrapText="1"/>
    </xf>
    <xf numFmtId="0" fontId="30" fillId="7" borderId="17" xfId="0" applyFont="1" applyFill="1" applyBorder="1" applyAlignment="1">
      <alignment horizontal="center" vertical="center" wrapText="1"/>
    </xf>
    <xf numFmtId="0" fontId="30" fillId="7" borderId="8" xfId="0" applyFont="1" applyFill="1" applyBorder="1" applyAlignment="1">
      <alignment horizontal="center" vertical="center" wrapText="1"/>
    </xf>
    <xf numFmtId="0" fontId="30" fillId="7" borderId="3" xfId="0" applyFont="1" applyFill="1" applyBorder="1" applyAlignment="1">
      <alignment horizontal="center" vertical="center" wrapText="1"/>
    </xf>
    <xf numFmtId="0" fontId="30" fillId="7" borderId="21" xfId="0" applyFont="1" applyFill="1" applyBorder="1" applyAlignment="1">
      <alignment horizontal="center" vertical="center" wrapText="1"/>
    </xf>
    <xf numFmtId="0" fontId="30" fillId="7" borderId="2" xfId="0" applyFont="1" applyFill="1" applyBorder="1" applyAlignment="1">
      <alignment horizontal="center" vertical="center" wrapText="1"/>
    </xf>
    <xf numFmtId="0" fontId="30" fillId="7" borderId="10" xfId="0" applyFont="1" applyFill="1" applyBorder="1" applyAlignment="1">
      <alignment horizontal="center" vertical="center" wrapText="1"/>
    </xf>
    <xf numFmtId="0" fontId="30" fillId="7" borderId="56" xfId="0" applyFont="1" applyFill="1" applyBorder="1" applyAlignment="1">
      <alignment horizontal="center" vertical="center" wrapText="1"/>
    </xf>
    <xf numFmtId="0" fontId="30" fillId="7" borderId="15" xfId="0" applyFont="1" applyFill="1" applyBorder="1" applyAlignment="1">
      <alignment horizontal="center" vertical="center" wrapText="1"/>
    </xf>
    <xf numFmtId="0" fontId="30" fillId="7" borderId="45" xfId="0" applyFont="1" applyFill="1" applyBorder="1" applyAlignment="1">
      <alignment horizontal="center" vertical="center" wrapText="1"/>
    </xf>
    <xf numFmtId="0" fontId="30" fillId="7" borderId="55"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6" fillId="5" borderId="3" xfId="0" applyFont="1" applyFill="1" applyBorder="1" applyAlignment="1">
      <alignment horizontal="center" vertical="center" textRotation="90" wrapText="1"/>
    </xf>
    <xf numFmtId="0" fontId="30" fillId="20" borderId="3" xfId="0" applyFont="1" applyFill="1" applyBorder="1" applyAlignment="1">
      <alignment horizontal="center" vertical="center"/>
    </xf>
    <xf numFmtId="0" fontId="30" fillId="21" borderId="3" xfId="0" applyFont="1" applyFill="1" applyBorder="1" applyAlignment="1">
      <alignment horizontal="center" vertical="center" textRotation="90" wrapText="1"/>
    </xf>
    <xf numFmtId="0" fontId="12" fillId="2" borderId="3" xfId="0" applyFont="1" applyFill="1" applyBorder="1" applyAlignment="1">
      <alignment horizontal="center" vertical="center"/>
    </xf>
    <xf numFmtId="0" fontId="12" fillId="0" borderId="3" xfId="0" applyFont="1" applyFill="1" applyBorder="1" applyAlignment="1">
      <alignment horizontal="center" vertical="center"/>
    </xf>
    <xf numFmtId="0" fontId="12" fillId="2" borderId="3" xfId="0" applyFont="1" applyFill="1" applyBorder="1" applyAlignment="1" applyProtection="1">
      <alignment horizontal="center" vertical="center" wrapText="1"/>
      <protection locked="0"/>
    </xf>
    <xf numFmtId="0" fontId="12" fillId="2" borderId="3" xfId="1" applyFont="1" applyFill="1" applyBorder="1" applyAlignment="1">
      <alignment horizontal="center" vertical="center" wrapText="1"/>
    </xf>
    <xf numFmtId="0" fontId="39" fillId="23" borderId="3" xfId="0" applyFont="1" applyFill="1" applyBorder="1" applyAlignment="1">
      <alignment horizontal="center" vertical="center"/>
    </xf>
    <xf numFmtId="0" fontId="12" fillId="8" borderId="3" xfId="0" applyFont="1" applyFill="1" applyBorder="1" applyAlignment="1">
      <alignment horizontal="center" vertical="center" wrapText="1"/>
    </xf>
    <xf numFmtId="0" fontId="12" fillId="2" borderId="3" xfId="0" applyFont="1" applyFill="1" applyBorder="1" applyAlignment="1">
      <alignment horizontal="justify" vertical="center" wrapText="1"/>
    </xf>
    <xf numFmtId="0" fontId="12" fillId="2" borderId="3" xfId="0" applyFont="1" applyFill="1" applyBorder="1" applyAlignment="1">
      <alignment horizontal="justify" vertical="top" wrapText="1"/>
    </xf>
    <xf numFmtId="0" fontId="48" fillId="2" borderId="3" xfId="0" applyFont="1" applyFill="1" applyBorder="1" applyAlignment="1" applyProtection="1">
      <alignment horizontal="center" vertical="center" wrapText="1"/>
      <protection locked="0"/>
    </xf>
    <xf numFmtId="0" fontId="39" fillId="2" borderId="3" xfId="0" applyFont="1" applyFill="1" applyBorder="1" applyAlignment="1">
      <alignment horizontal="center" vertical="center" wrapText="1"/>
    </xf>
    <xf numFmtId="0" fontId="12" fillId="2" borderId="3" xfId="0" applyFont="1" applyFill="1" applyBorder="1" applyAlignment="1" applyProtection="1">
      <alignment horizontal="justify" vertical="center" wrapText="1"/>
      <protection locked="0"/>
    </xf>
    <xf numFmtId="14" fontId="12" fillId="2" borderId="3" xfId="0" applyNumberFormat="1" applyFont="1" applyFill="1" applyBorder="1" applyAlignment="1">
      <alignment horizontal="center" vertical="center" wrapText="1"/>
    </xf>
    <xf numFmtId="14" fontId="12" fillId="2" borderId="3" xfId="0" applyNumberFormat="1" applyFont="1" applyFill="1" applyBorder="1" applyAlignment="1">
      <alignment horizontal="center" vertical="center"/>
    </xf>
    <xf numFmtId="0" fontId="12" fillId="0" borderId="3" xfId="0" applyFont="1" applyBorder="1" applyAlignment="1">
      <alignment horizontal="center" vertical="center" wrapText="1"/>
    </xf>
    <xf numFmtId="10" fontId="12" fillId="2" borderId="3" xfId="2" applyNumberFormat="1" applyFont="1" applyFill="1" applyBorder="1" applyAlignment="1" applyProtection="1">
      <alignment horizontal="center" vertical="center" wrapText="1"/>
    </xf>
    <xf numFmtId="0" fontId="39" fillId="23" borderId="10" xfId="0" applyFont="1" applyFill="1" applyBorder="1" applyAlignment="1">
      <alignment horizontal="center" vertical="center" wrapText="1"/>
    </xf>
    <xf numFmtId="0" fontId="39" fillId="23" borderId="11" xfId="0" applyFont="1" applyFill="1" applyBorder="1" applyAlignment="1">
      <alignment horizontal="center" vertical="center" wrapText="1"/>
    </xf>
    <xf numFmtId="0" fontId="39" fillId="23" borderId="12"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10"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12" xfId="0" applyFont="1" applyFill="1" applyBorder="1" applyAlignment="1">
      <alignment horizontal="center" vertical="center"/>
    </xf>
    <xf numFmtId="0" fontId="39" fillId="2" borderId="10" xfId="0" applyFont="1" applyFill="1" applyBorder="1" applyAlignment="1">
      <alignment horizontal="center" vertical="center" wrapText="1"/>
    </xf>
    <xf numFmtId="0" fontId="39" fillId="2" borderId="11" xfId="0" applyFont="1" applyFill="1" applyBorder="1" applyAlignment="1">
      <alignment horizontal="center" vertical="center" wrapText="1"/>
    </xf>
    <xf numFmtId="0" fontId="39" fillId="2" borderId="12" xfId="0" applyFont="1" applyFill="1" applyBorder="1" applyAlignment="1">
      <alignment horizontal="center" vertical="center" wrapText="1"/>
    </xf>
    <xf numFmtId="9" fontId="12" fillId="8" borderId="3" xfId="0" applyNumberFormat="1" applyFont="1" applyFill="1" applyBorder="1" applyAlignment="1">
      <alignment horizontal="center" vertical="center" wrapText="1"/>
    </xf>
    <xf numFmtId="9" fontId="12" fillId="2" borderId="3" xfId="2" applyFont="1" applyFill="1" applyBorder="1" applyAlignment="1" applyProtection="1">
      <alignment horizontal="center" vertical="center" wrapText="1"/>
    </xf>
    <xf numFmtId="0" fontId="12" fillId="2" borderId="3" xfId="0" applyFont="1" applyFill="1" applyBorder="1" applyAlignment="1" applyProtection="1">
      <alignment horizontal="center" vertical="top" wrapText="1"/>
      <protection locked="0"/>
    </xf>
    <xf numFmtId="0" fontId="52" fillId="22" borderId="10" xfId="0" applyFont="1" applyFill="1" applyBorder="1" applyAlignment="1">
      <alignment horizontal="center" vertical="center"/>
    </xf>
    <xf numFmtId="0" fontId="52" fillId="22" borderId="11" xfId="0" applyFont="1" applyFill="1" applyBorder="1" applyAlignment="1">
      <alignment horizontal="center" vertical="center"/>
    </xf>
    <xf numFmtId="0" fontId="52" fillId="22" borderId="12" xfId="0" applyFont="1" applyFill="1" applyBorder="1" applyAlignment="1">
      <alignment horizontal="center" vertical="center"/>
    </xf>
    <xf numFmtId="0" fontId="12" fillId="0" borderId="10"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40" fillId="2" borderId="10" xfId="0" applyFont="1" applyFill="1" applyBorder="1" applyAlignment="1" applyProtection="1">
      <alignment horizontal="center" vertical="center" wrapText="1"/>
      <protection locked="0"/>
    </xf>
    <xf numFmtId="0" fontId="40" fillId="2" borderId="11" xfId="0" applyFont="1" applyFill="1" applyBorder="1" applyAlignment="1" applyProtection="1">
      <alignment horizontal="center" vertical="center" wrapText="1"/>
      <protection locked="0"/>
    </xf>
    <xf numFmtId="0" fontId="40" fillId="2" borderId="12" xfId="0" applyFont="1" applyFill="1" applyBorder="1" applyAlignment="1" applyProtection="1">
      <alignment horizontal="center" vertical="center" wrapText="1"/>
      <protection locked="0"/>
    </xf>
    <xf numFmtId="0" fontId="39" fillId="12" borderId="10" xfId="0" applyFont="1" applyFill="1" applyBorder="1" applyAlignment="1">
      <alignment horizontal="center" vertical="center" wrapText="1"/>
    </xf>
    <xf numFmtId="0" fontId="39" fillId="12" borderId="12" xfId="0" applyFont="1" applyFill="1" applyBorder="1" applyAlignment="1">
      <alignment horizontal="center" vertical="center" wrapText="1"/>
    </xf>
    <xf numFmtId="0" fontId="4" fillId="2" borderId="10"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39" fillId="12" borderId="11" xfId="0" applyFont="1" applyFill="1" applyBorder="1" applyAlignment="1">
      <alignment horizontal="center" vertical="center" wrapText="1"/>
    </xf>
    <xf numFmtId="9" fontId="12" fillId="2" borderId="10" xfId="0" applyNumberFormat="1" applyFont="1" applyFill="1" applyBorder="1" applyAlignment="1">
      <alignment horizontal="center" vertical="center" wrapText="1"/>
    </xf>
    <xf numFmtId="0" fontId="4" fillId="8" borderId="10" xfId="0" applyFont="1" applyFill="1" applyBorder="1" applyAlignment="1">
      <alignment horizontal="center" vertical="center" wrapText="1"/>
    </xf>
    <xf numFmtId="0" fontId="4" fillId="8" borderId="11" xfId="0" applyFont="1" applyFill="1" applyBorder="1" applyAlignment="1">
      <alignment horizontal="center" vertical="center" wrapText="1"/>
    </xf>
    <xf numFmtId="0" fontId="4" fillId="8" borderId="12" xfId="0" applyFont="1" applyFill="1" applyBorder="1" applyAlignment="1">
      <alignment horizontal="center" vertical="center" wrapText="1"/>
    </xf>
    <xf numFmtId="9" fontId="4" fillId="2" borderId="10" xfId="0" applyNumberFormat="1"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0" xfId="1" applyFont="1" applyFill="1" applyBorder="1" applyAlignment="1">
      <alignment horizontal="center" vertical="center" wrapText="1"/>
    </xf>
    <xf numFmtId="0" fontId="4" fillId="2" borderId="11" xfId="1" applyFont="1" applyFill="1" applyBorder="1" applyAlignment="1">
      <alignment horizontal="center" vertical="center" wrapText="1"/>
    </xf>
    <xf numFmtId="0" fontId="4" fillId="2" borderId="12" xfId="1" applyFont="1" applyFill="1" applyBorder="1" applyAlignment="1">
      <alignment horizontal="center" vertical="center" wrapText="1"/>
    </xf>
    <xf numFmtId="0" fontId="4" fillId="2" borderId="11" xfId="0" applyFont="1" applyFill="1" applyBorder="1" applyAlignment="1" applyProtection="1">
      <alignment horizontal="center" vertical="center" wrapText="1"/>
      <protection locked="0"/>
    </xf>
    <xf numFmtId="166" fontId="4" fillId="2" borderId="10" xfId="0" applyNumberFormat="1" applyFont="1" applyFill="1" applyBorder="1" applyAlignment="1">
      <alignment horizontal="center" vertical="center" wrapText="1"/>
    </xf>
    <xf numFmtId="166" fontId="4" fillId="2" borderId="11" xfId="0" applyNumberFormat="1" applyFont="1" applyFill="1" applyBorder="1" applyAlignment="1">
      <alignment horizontal="center" vertical="center" wrapText="1"/>
    </xf>
    <xf numFmtId="166" fontId="4" fillId="2" borderId="12" xfId="0" applyNumberFormat="1" applyFont="1" applyFill="1" applyBorder="1" applyAlignment="1">
      <alignment horizontal="center" vertical="center" wrapText="1"/>
    </xf>
    <xf numFmtId="14" fontId="12" fillId="2" borderId="10" xfId="0" applyNumberFormat="1" applyFont="1" applyFill="1" applyBorder="1" applyAlignment="1">
      <alignment horizontal="center" vertical="center" wrapText="1"/>
    </xf>
    <xf numFmtId="14" fontId="12" fillId="2" borderId="11" xfId="0" applyNumberFormat="1" applyFont="1" applyFill="1" applyBorder="1" applyAlignment="1">
      <alignment horizontal="center" vertical="center" wrapText="1"/>
    </xf>
    <xf numFmtId="14" fontId="12" fillId="2" borderId="12" xfId="0" applyNumberFormat="1" applyFont="1" applyFill="1" applyBorder="1" applyAlignment="1">
      <alignment horizontal="center" vertical="center" wrapText="1"/>
    </xf>
    <xf numFmtId="0" fontId="4" fillId="2" borderId="10" xfId="0" applyFont="1" applyFill="1" applyBorder="1" applyAlignment="1">
      <alignment horizontal="center" vertical="center" wrapText="1"/>
    </xf>
    <xf numFmtId="0" fontId="38" fillId="2" borderId="10" xfId="0" applyFont="1" applyFill="1" applyBorder="1" applyAlignment="1">
      <alignment horizontal="center" vertical="center" wrapText="1"/>
    </xf>
    <xf numFmtId="0" fontId="38" fillId="2" borderId="11" xfId="0" applyFont="1" applyFill="1" applyBorder="1" applyAlignment="1">
      <alignment horizontal="center" vertical="center" wrapText="1"/>
    </xf>
    <xf numFmtId="0" fontId="38" fillId="2" borderId="12" xfId="0" applyFont="1" applyFill="1" applyBorder="1" applyAlignment="1">
      <alignment horizontal="center" vertical="center" wrapText="1"/>
    </xf>
    <xf numFmtId="0" fontId="41" fillId="2" borderId="10" xfId="0" applyFont="1" applyFill="1" applyBorder="1" applyAlignment="1" applyProtection="1">
      <alignment horizontal="center" vertical="center" wrapText="1"/>
      <protection locked="0"/>
    </xf>
    <xf numFmtId="0" fontId="41" fillId="2" borderId="11" xfId="0" applyFont="1" applyFill="1" applyBorder="1" applyAlignment="1" applyProtection="1">
      <alignment horizontal="center" vertical="center" wrapText="1"/>
      <protection locked="0"/>
    </xf>
    <xf numFmtId="0" fontId="41" fillId="2" borderId="12" xfId="0" applyFont="1" applyFill="1" applyBorder="1" applyAlignment="1" applyProtection="1">
      <alignment horizontal="center" vertical="center" wrapText="1"/>
      <protection locked="0"/>
    </xf>
    <xf numFmtId="10" fontId="4" fillId="2" borderId="10" xfId="2" applyNumberFormat="1" applyFont="1" applyFill="1" applyBorder="1" applyAlignment="1" applyProtection="1">
      <alignment horizontal="center" vertical="center" wrapText="1"/>
    </xf>
    <xf numFmtId="10" fontId="4" fillId="2" borderId="11" xfId="2" applyNumberFormat="1" applyFont="1" applyFill="1" applyBorder="1" applyAlignment="1" applyProtection="1">
      <alignment horizontal="center" vertical="center" wrapText="1"/>
    </xf>
    <xf numFmtId="10" fontId="4" fillId="2" borderId="12" xfId="2" applyNumberFormat="1" applyFont="1" applyFill="1" applyBorder="1" applyAlignment="1" applyProtection="1">
      <alignment horizontal="center" vertical="center" wrapText="1"/>
    </xf>
    <xf numFmtId="9" fontId="4" fillId="2" borderId="10" xfId="2" applyFont="1" applyFill="1" applyBorder="1" applyAlignment="1" applyProtection="1">
      <alignment horizontal="center" vertical="center" wrapText="1"/>
    </xf>
    <xf numFmtId="9" fontId="4" fillId="2" borderId="11" xfId="2" applyFont="1" applyFill="1" applyBorder="1" applyAlignment="1" applyProtection="1">
      <alignment horizontal="center" vertical="center" wrapText="1"/>
    </xf>
    <xf numFmtId="9" fontId="4" fillId="2" borderId="12" xfId="2" applyFont="1" applyFill="1" applyBorder="1" applyAlignment="1" applyProtection="1">
      <alignment horizontal="center" vertical="center" wrapText="1"/>
    </xf>
    <xf numFmtId="0" fontId="12" fillId="2" borderId="10" xfId="0" applyFont="1" applyFill="1" applyBorder="1" applyAlignment="1" applyProtection="1">
      <alignment horizontal="center" vertical="center" wrapText="1"/>
      <protection locked="0"/>
    </xf>
    <xf numFmtId="0" fontId="12" fillId="2" borderId="11" xfId="0" applyFont="1" applyFill="1" applyBorder="1" applyAlignment="1" applyProtection="1">
      <alignment horizontal="center" vertical="center" wrapText="1"/>
      <protection locked="0"/>
    </xf>
    <xf numFmtId="0" fontId="12" fillId="2" borderId="12" xfId="0" applyFont="1" applyFill="1" applyBorder="1" applyAlignment="1" applyProtection="1">
      <alignment horizontal="center" vertical="center" wrapText="1"/>
      <protection locked="0"/>
    </xf>
    <xf numFmtId="0" fontId="43" fillId="0" borderId="12" xfId="0" applyFont="1" applyBorder="1" applyAlignment="1">
      <alignment horizontal="center" vertical="center" wrapText="1"/>
    </xf>
    <xf numFmtId="0" fontId="30" fillId="18" borderId="20" xfId="0" applyFont="1" applyFill="1" applyBorder="1" applyAlignment="1">
      <alignment horizontal="center" vertical="center" wrapText="1"/>
    </xf>
    <xf numFmtId="0" fontId="30" fillId="18" borderId="22"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46" fillId="5" borderId="30" xfId="0" applyFont="1" applyFill="1" applyBorder="1" applyAlignment="1">
      <alignment horizontal="center" vertical="center" textRotation="90" wrapText="1"/>
    </xf>
    <xf numFmtId="0" fontId="46" fillId="5" borderId="29" xfId="0" applyFont="1" applyFill="1" applyBorder="1" applyAlignment="1">
      <alignment horizontal="center" vertical="center" textRotation="90" wrapText="1"/>
    </xf>
    <xf numFmtId="0" fontId="3" fillId="5" borderId="4"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45" fillId="20" borderId="0" xfId="0" applyFont="1" applyFill="1" applyAlignment="1">
      <alignment horizontal="center" vertical="center" wrapText="1"/>
    </xf>
    <xf numFmtId="0" fontId="45" fillId="20" borderId="35"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0" fillId="18" borderId="47" xfId="0" applyFont="1" applyFill="1" applyBorder="1" applyAlignment="1">
      <alignment horizontal="center" vertical="center" textRotation="90" wrapText="1"/>
    </xf>
    <xf numFmtId="0" fontId="30" fillId="18" borderId="28" xfId="0" applyFont="1" applyFill="1" applyBorder="1" applyAlignment="1">
      <alignment horizontal="center" vertical="center" textRotation="90" wrapText="1"/>
    </xf>
    <xf numFmtId="0" fontId="30" fillId="7" borderId="46" xfId="0" applyFont="1" applyFill="1" applyBorder="1" applyAlignment="1">
      <alignment horizontal="center" vertical="center" wrapText="1"/>
    </xf>
    <xf numFmtId="0" fontId="30" fillId="7" borderId="13" xfId="0" applyFont="1" applyFill="1" applyBorder="1" applyAlignment="1">
      <alignment horizontal="center" vertical="center" wrapText="1"/>
    </xf>
    <xf numFmtId="0" fontId="30" fillId="7" borderId="24" xfId="0" applyFont="1" applyFill="1" applyBorder="1" applyAlignment="1">
      <alignment horizontal="center" vertical="center" wrapText="1"/>
    </xf>
    <xf numFmtId="0" fontId="30" fillId="7" borderId="26" xfId="0" applyFont="1" applyFill="1" applyBorder="1" applyAlignment="1">
      <alignment horizontal="center" vertical="center" wrapText="1"/>
    </xf>
    <xf numFmtId="0" fontId="30" fillId="21" borderId="20" xfId="0" applyFont="1" applyFill="1" applyBorder="1" applyAlignment="1">
      <alignment horizontal="center" vertical="center" textRotation="90" wrapText="1"/>
    </xf>
    <xf numFmtId="0" fontId="30" fillId="21" borderId="39" xfId="0" applyFont="1" applyFill="1" applyBorder="1" applyAlignment="1">
      <alignment horizontal="center" vertical="center" textRotation="90" wrapText="1"/>
    </xf>
    <xf numFmtId="0" fontId="46" fillId="5" borderId="20" xfId="0" applyFont="1" applyFill="1" applyBorder="1" applyAlignment="1">
      <alignment horizontal="center" vertical="center" wrapText="1"/>
    </xf>
    <xf numFmtId="0" fontId="46" fillId="5" borderId="39" xfId="0" applyFont="1" applyFill="1" applyBorder="1" applyAlignment="1">
      <alignment horizontal="center" vertical="center" wrapText="1"/>
    </xf>
    <xf numFmtId="0" fontId="3" fillId="5" borderId="25"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0" fillId="18" borderId="23" xfId="0" applyFont="1" applyFill="1" applyBorder="1" applyAlignment="1">
      <alignment horizontal="center" vertical="center" wrapText="1"/>
    </xf>
    <xf numFmtId="0" fontId="30" fillId="18" borderId="36" xfId="0" applyFont="1" applyFill="1" applyBorder="1" applyAlignment="1">
      <alignment horizontal="center" vertical="center" wrapText="1"/>
    </xf>
    <xf numFmtId="0" fontId="3" fillId="5" borderId="47"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3" fillId="5" borderId="27" xfId="0" applyFont="1" applyFill="1" applyBorder="1" applyAlignment="1">
      <alignment horizontal="center" vertical="center" wrapText="1"/>
    </xf>
    <xf numFmtId="0" fontId="3" fillId="5" borderId="31" xfId="0" applyFont="1" applyFill="1" applyBorder="1" applyAlignment="1">
      <alignment horizontal="center" vertical="center" wrapText="1"/>
    </xf>
    <xf numFmtId="0" fontId="3" fillId="5" borderId="43" xfId="0" applyFont="1" applyFill="1" applyBorder="1" applyAlignment="1">
      <alignment horizontal="center" vertical="center" wrapText="1"/>
    </xf>
    <xf numFmtId="0" fontId="44" fillId="0" borderId="0" xfId="0" applyFont="1" applyAlignment="1">
      <alignment horizontal="center" vertical="center" wrapText="1"/>
    </xf>
    <xf numFmtId="0" fontId="45" fillId="3" borderId="4" xfId="0" applyFont="1" applyFill="1" applyBorder="1" applyAlignment="1">
      <alignment horizontal="center" vertical="center" wrapText="1"/>
    </xf>
    <xf numFmtId="0" fontId="45" fillId="3" borderId="0" xfId="0" applyFont="1" applyFill="1" applyAlignment="1">
      <alignment horizontal="center" vertical="center" wrapText="1"/>
    </xf>
    <xf numFmtId="0" fontId="36" fillId="7" borderId="37" xfId="0" applyFont="1" applyFill="1" applyBorder="1" applyAlignment="1">
      <alignment horizontal="center" vertical="center" wrapText="1"/>
    </xf>
    <xf numFmtId="0" fontId="36" fillId="7" borderId="38" xfId="0" applyFont="1" applyFill="1" applyBorder="1" applyAlignment="1">
      <alignment horizontal="center" vertical="center" wrapText="1"/>
    </xf>
    <xf numFmtId="0" fontId="3" fillId="5" borderId="42" xfId="0" applyFont="1" applyFill="1" applyBorder="1" applyAlignment="1">
      <alignment horizontal="center" vertical="center" textRotation="90" wrapText="1"/>
    </xf>
    <xf numFmtId="0" fontId="3" fillId="5" borderId="12" xfId="0" applyFont="1" applyFill="1" applyBorder="1" applyAlignment="1">
      <alignment horizontal="center" vertical="center" textRotation="90" wrapText="1"/>
    </xf>
    <xf numFmtId="0" fontId="3" fillId="5" borderId="16" xfId="0" applyFont="1" applyFill="1" applyBorder="1" applyAlignment="1">
      <alignment horizontal="center" vertical="center" wrapText="1"/>
    </xf>
    <xf numFmtId="0" fontId="30" fillId="18" borderId="41" xfId="0" applyFont="1" applyFill="1" applyBorder="1" applyAlignment="1">
      <alignment horizontal="center" vertical="center" textRotation="90" wrapText="1"/>
    </xf>
    <xf numFmtId="0" fontId="30" fillId="18" borderId="7" xfId="0" applyFont="1" applyFill="1" applyBorder="1" applyAlignment="1">
      <alignment horizontal="center" vertical="center" textRotation="90" wrapText="1"/>
    </xf>
    <xf numFmtId="0" fontId="30" fillId="18" borderId="42" xfId="0" applyFont="1" applyFill="1" applyBorder="1" applyAlignment="1">
      <alignment horizontal="center" vertical="center" textRotation="90" wrapText="1"/>
    </xf>
    <xf numFmtId="0" fontId="30" fillId="18" borderId="12" xfId="0" applyFont="1" applyFill="1" applyBorder="1" applyAlignment="1">
      <alignment horizontal="center" vertical="center" textRotation="90" wrapText="1"/>
    </xf>
    <xf numFmtId="0" fontId="30" fillId="18" borderId="18" xfId="0" applyFont="1" applyFill="1" applyBorder="1" applyAlignment="1">
      <alignment horizontal="center" vertical="center" wrapText="1"/>
    </xf>
    <xf numFmtId="0" fontId="30" fillId="18" borderId="39" xfId="0" applyFont="1" applyFill="1" applyBorder="1" applyAlignment="1">
      <alignment horizontal="center" vertical="center" wrapText="1"/>
    </xf>
    <xf numFmtId="0" fontId="3" fillId="5" borderId="34" xfId="0" applyFont="1" applyFill="1" applyBorder="1" applyAlignment="1">
      <alignment horizontal="center" vertical="center" wrapText="1"/>
    </xf>
    <xf numFmtId="0" fontId="3" fillId="5" borderId="35" xfId="0" applyFont="1" applyFill="1" applyBorder="1" applyAlignment="1">
      <alignment horizontal="center" vertical="center" wrapText="1"/>
    </xf>
    <xf numFmtId="0" fontId="3" fillId="5" borderId="38" xfId="0" applyFont="1" applyFill="1" applyBorder="1" applyAlignment="1">
      <alignment horizontal="center" vertical="center" wrapText="1"/>
    </xf>
    <xf numFmtId="0" fontId="30" fillId="21" borderId="48" xfId="0" applyFont="1" applyFill="1" applyBorder="1" applyAlignment="1">
      <alignment horizontal="center" vertical="center" wrapText="1"/>
    </xf>
    <xf numFmtId="0" fontId="30" fillId="21" borderId="49" xfId="0" applyFont="1" applyFill="1" applyBorder="1" applyAlignment="1">
      <alignment horizontal="center" vertical="center" wrapText="1"/>
    </xf>
    <xf numFmtId="0" fontId="30" fillId="21" borderId="50"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17" borderId="42" xfId="0" applyFont="1" applyFill="1" applyBorder="1" applyAlignment="1">
      <alignment horizontal="center" vertical="center" textRotation="90" wrapText="1"/>
    </xf>
    <xf numFmtId="0" fontId="3" fillId="17" borderId="12" xfId="0" applyFont="1" applyFill="1" applyBorder="1" applyAlignment="1">
      <alignment horizontal="center" vertical="center" textRotation="90" wrapText="1"/>
    </xf>
    <xf numFmtId="9" fontId="12" fillId="2" borderId="12" xfId="0" applyNumberFormat="1" applyFont="1" applyFill="1" applyBorder="1" applyAlignment="1">
      <alignment horizontal="center" vertical="center" wrapText="1"/>
    </xf>
    <xf numFmtId="0" fontId="12" fillId="2" borderId="14" xfId="0" applyFont="1" applyFill="1" applyBorder="1" applyAlignment="1">
      <alignment horizontal="center" vertical="center" wrapText="1"/>
    </xf>
    <xf numFmtId="14" fontId="12" fillId="2" borderId="14" xfId="0" applyNumberFormat="1" applyFont="1" applyFill="1" applyBorder="1" applyAlignment="1">
      <alignment horizontal="center" vertical="center" wrapText="1"/>
    </xf>
    <xf numFmtId="0" fontId="12" fillId="2" borderId="42" xfId="0" applyFont="1" applyFill="1" applyBorder="1" applyAlignment="1">
      <alignment horizontal="center" vertical="center" wrapText="1"/>
    </xf>
    <xf numFmtId="0" fontId="4" fillId="2" borderId="42" xfId="1" applyFont="1" applyFill="1" applyBorder="1" applyAlignment="1">
      <alignment horizontal="center" vertical="center" wrapText="1"/>
    </xf>
    <xf numFmtId="0" fontId="4" fillId="2" borderId="14" xfId="1" applyFont="1" applyFill="1" applyBorder="1" applyAlignment="1">
      <alignment horizontal="center" vertical="center" wrapText="1"/>
    </xf>
    <xf numFmtId="0" fontId="4" fillId="2" borderId="42"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0" fillId="2" borderId="14" xfId="0" applyFont="1" applyFill="1" applyBorder="1" applyAlignment="1" applyProtection="1">
      <alignment horizontal="center" vertical="center" wrapText="1"/>
      <protection locked="0"/>
    </xf>
    <xf numFmtId="0" fontId="39" fillId="2" borderId="42" xfId="0" applyFont="1" applyFill="1" applyBorder="1" applyAlignment="1">
      <alignment horizontal="center" vertical="center" wrapText="1"/>
    </xf>
    <xf numFmtId="0" fontId="39" fillId="2" borderId="14" xfId="0" applyFont="1" applyFill="1" applyBorder="1" applyAlignment="1">
      <alignment horizontal="center" vertical="center" wrapText="1"/>
    </xf>
    <xf numFmtId="9" fontId="4" fillId="2" borderId="42" xfId="2" applyFont="1" applyFill="1" applyBorder="1" applyAlignment="1" applyProtection="1">
      <alignment horizontal="center" vertical="center" wrapText="1"/>
    </xf>
    <xf numFmtId="9" fontId="4" fillId="2" borderId="14" xfId="2" applyFont="1" applyFill="1" applyBorder="1" applyAlignment="1" applyProtection="1">
      <alignment horizontal="center" vertical="center" wrapText="1"/>
    </xf>
    <xf numFmtId="0" fontId="41" fillId="2" borderId="42" xfId="0" applyFont="1" applyFill="1" applyBorder="1" applyAlignment="1" applyProtection="1">
      <alignment horizontal="center" vertical="center" wrapText="1"/>
      <protection locked="0"/>
    </xf>
    <xf numFmtId="0" fontId="41" fillId="2" borderId="14" xfId="0" applyFont="1" applyFill="1" applyBorder="1" applyAlignment="1" applyProtection="1">
      <alignment horizontal="center" vertical="center" wrapText="1"/>
      <protection locked="0"/>
    </xf>
    <xf numFmtId="10" fontId="4" fillId="2" borderId="42" xfId="2" applyNumberFormat="1" applyFont="1" applyFill="1" applyBorder="1" applyAlignment="1" applyProtection="1">
      <alignment horizontal="center" vertical="center" wrapText="1"/>
    </xf>
    <xf numFmtId="10" fontId="4" fillId="2" borderId="14" xfId="2" applyNumberFormat="1" applyFont="1" applyFill="1" applyBorder="1" applyAlignment="1" applyProtection="1">
      <alignment horizontal="center" vertical="center" wrapText="1"/>
    </xf>
    <xf numFmtId="0" fontId="4" fillId="2" borderId="14" xfId="0" applyFont="1" applyFill="1" applyBorder="1" applyAlignment="1" applyProtection="1">
      <alignment horizontal="center" vertical="center" wrapText="1"/>
      <protection locked="0"/>
    </xf>
    <xf numFmtId="0" fontId="4" fillId="2" borderId="42" xfId="0" applyFont="1" applyFill="1" applyBorder="1" applyAlignment="1" applyProtection="1">
      <alignment horizontal="center" vertical="center" wrapText="1"/>
      <protection locked="0"/>
    </xf>
    <xf numFmtId="0" fontId="12" fillId="2" borderId="14" xfId="0" applyFont="1" applyFill="1" applyBorder="1" applyAlignment="1" applyProtection="1">
      <alignment horizontal="center" vertical="center" wrapText="1"/>
      <protection locked="0"/>
    </xf>
    <xf numFmtId="0" fontId="4" fillId="8" borderId="42" xfId="0" applyFont="1" applyFill="1" applyBorder="1" applyAlignment="1">
      <alignment horizontal="center" vertical="center" wrapText="1"/>
    </xf>
    <xf numFmtId="0" fontId="4" fillId="8" borderId="14" xfId="0" applyFont="1" applyFill="1" applyBorder="1" applyAlignment="1">
      <alignment horizontal="center" vertical="center" wrapText="1"/>
    </xf>
    <xf numFmtId="0" fontId="51" fillId="24" borderId="67" xfId="0" applyFont="1" applyFill="1" applyBorder="1" applyAlignment="1">
      <alignment horizontal="center" vertical="center" wrapText="1"/>
    </xf>
    <xf numFmtId="0" fontId="51" fillId="24" borderId="47" xfId="0" applyFont="1" applyFill="1" applyBorder="1" applyAlignment="1">
      <alignment horizontal="center" vertical="center" wrapText="1"/>
    </xf>
    <xf numFmtId="0" fontId="51" fillId="24" borderId="28" xfId="0" applyFont="1" applyFill="1" applyBorder="1" applyAlignment="1">
      <alignment horizontal="center" vertical="center" wrapText="1"/>
    </xf>
    <xf numFmtId="0" fontId="12" fillId="0" borderId="42"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2"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51" fillId="24" borderId="47" xfId="0" applyFont="1" applyFill="1" applyBorder="1" applyAlignment="1">
      <alignment horizontal="center" vertical="center"/>
    </xf>
    <xf numFmtId="0" fontId="51" fillId="24" borderId="28" xfId="0" applyFont="1" applyFill="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12" fillId="2" borderId="56" xfId="0" applyFont="1" applyFill="1" applyBorder="1" applyAlignment="1">
      <alignment horizontal="center" vertical="center" wrapText="1"/>
    </xf>
    <xf numFmtId="0" fontId="12" fillId="2" borderId="30" xfId="0" applyFont="1" applyFill="1" applyBorder="1" applyAlignment="1">
      <alignment horizontal="center" vertical="center" wrapText="1"/>
    </xf>
    <xf numFmtId="0" fontId="12" fillId="2" borderId="29" xfId="0" applyFont="1" applyFill="1" applyBorder="1" applyAlignment="1">
      <alignment horizontal="center" vertical="center" wrapText="1"/>
    </xf>
    <xf numFmtId="0" fontId="12" fillId="0" borderId="10" xfId="0" applyFont="1" applyBorder="1" applyAlignment="1">
      <alignment horizontal="center" vertical="center" wrapText="1"/>
    </xf>
    <xf numFmtId="14" fontId="12" fillId="0" borderId="10" xfId="0" applyNumberFormat="1" applyFont="1" applyBorder="1" applyAlignment="1">
      <alignment horizontal="center" vertical="center" wrapText="1"/>
    </xf>
    <xf numFmtId="14" fontId="12" fillId="0" borderId="12" xfId="0" applyNumberFormat="1" applyFont="1" applyBorder="1" applyAlignment="1">
      <alignment horizontal="center" vertical="center" wrapText="1"/>
    </xf>
    <xf numFmtId="14" fontId="12" fillId="0" borderId="14" xfId="0" applyNumberFormat="1" applyFont="1" applyBorder="1" applyAlignment="1">
      <alignment horizontal="center" vertical="center" wrapText="1"/>
    </xf>
    <xf numFmtId="14" fontId="12" fillId="0" borderId="3" xfId="0" applyNumberFormat="1" applyFont="1" applyBorder="1" applyAlignment="1">
      <alignment horizontal="center" vertical="center" wrapText="1"/>
    </xf>
    <xf numFmtId="0" fontId="4" fillId="0" borderId="42"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1" xfId="1" applyFont="1" applyBorder="1" applyAlignment="1">
      <alignment horizontal="center" vertical="center" wrapText="1"/>
    </xf>
    <xf numFmtId="0" fontId="4" fillId="0" borderId="14" xfId="1" applyFont="1" applyBorder="1" applyAlignment="1">
      <alignment horizontal="center" vertical="center" wrapText="1"/>
    </xf>
    <xf numFmtId="0" fontId="3" fillId="5" borderId="10" xfId="0" applyFont="1" applyFill="1" applyBorder="1" applyAlignment="1">
      <alignment horizontal="center" vertical="center" wrapText="1"/>
    </xf>
    <xf numFmtId="0" fontId="30" fillId="21" borderId="48" xfId="0" applyFont="1" applyFill="1" applyBorder="1" applyAlignment="1">
      <alignment horizontal="center" vertical="center"/>
    </xf>
    <xf numFmtId="0" fontId="30" fillId="21" borderId="49" xfId="0" applyFont="1" applyFill="1" applyBorder="1" applyAlignment="1">
      <alignment horizontal="center" vertical="center"/>
    </xf>
    <xf numFmtId="0" fontId="3" fillId="5" borderId="55" xfId="0" applyFont="1" applyFill="1" applyBorder="1" applyAlignment="1">
      <alignment horizontal="center" vertical="center" wrapText="1"/>
    </xf>
    <xf numFmtId="0" fontId="30" fillId="21" borderId="50" xfId="0" applyFont="1" applyFill="1" applyBorder="1" applyAlignment="1">
      <alignment horizontal="center" vertical="center"/>
    </xf>
    <xf numFmtId="0" fontId="30" fillId="20" borderId="0" xfId="0" applyFont="1" applyFill="1" applyAlignment="1">
      <alignment horizontal="center" vertical="center"/>
    </xf>
    <xf numFmtId="0" fontId="30" fillId="20" borderId="35" xfId="0" applyFont="1" applyFill="1" applyBorder="1" applyAlignment="1">
      <alignment horizontal="center" vertical="center"/>
    </xf>
    <xf numFmtId="0" fontId="7" fillId="0" borderId="0" xfId="0" applyFont="1" applyAlignment="1">
      <alignment horizontal="center" vertical="center"/>
    </xf>
    <xf numFmtId="0" fontId="51" fillId="24" borderId="67" xfId="0" applyFont="1" applyFill="1" applyBorder="1" applyAlignment="1">
      <alignment horizontal="center" vertical="center"/>
    </xf>
    <xf numFmtId="9" fontId="4" fillId="0" borderId="42" xfId="2" applyFont="1" applyFill="1" applyBorder="1" applyAlignment="1" applyProtection="1">
      <alignment horizontal="center" vertical="center" wrapText="1"/>
    </xf>
    <xf numFmtId="9" fontId="4" fillId="0" borderId="11" xfId="2" applyFont="1" applyFill="1" applyBorder="1" applyAlignment="1" applyProtection="1">
      <alignment horizontal="center" vertical="center" wrapText="1"/>
    </xf>
    <xf numFmtId="9" fontId="4" fillId="0" borderId="14" xfId="2" applyFont="1" applyFill="1" applyBorder="1" applyAlignment="1" applyProtection="1">
      <alignment horizontal="center" vertical="center" wrapText="1"/>
    </xf>
    <xf numFmtId="0" fontId="4" fillId="0" borderId="42" xfId="0" applyFont="1" applyBorder="1" applyAlignment="1" applyProtection="1">
      <alignment horizontal="center" vertical="center" wrapText="1"/>
      <protection locked="0"/>
    </xf>
    <xf numFmtId="9" fontId="4" fillId="0" borderId="11" xfId="0" applyNumberFormat="1" applyFont="1" applyBorder="1" applyAlignment="1">
      <alignment horizontal="center" vertical="center" wrapText="1"/>
    </xf>
    <xf numFmtId="14" fontId="12" fillId="0" borderId="11" xfId="0" applyNumberFormat="1" applyFont="1" applyBorder="1" applyAlignment="1">
      <alignment horizontal="center" vertical="center" wrapText="1"/>
    </xf>
    <xf numFmtId="0" fontId="12" fillId="2" borderId="65" xfId="0" applyFont="1" applyFill="1" applyBorder="1" applyAlignment="1">
      <alignment horizontal="center" vertical="center" wrapText="1"/>
    </xf>
    <xf numFmtId="0" fontId="39" fillId="0" borderId="42" xfId="0" applyFont="1" applyBorder="1" applyAlignment="1">
      <alignment horizontal="center" vertical="center" wrapText="1"/>
    </xf>
    <xf numFmtId="0" fontId="39" fillId="0" borderId="11" xfId="0" applyFont="1" applyBorder="1" applyAlignment="1">
      <alignment horizontal="center" vertical="center" wrapText="1"/>
    </xf>
    <xf numFmtId="0" fontId="39" fillId="0" borderId="14" xfId="0" applyFont="1" applyBorder="1" applyAlignment="1">
      <alignment horizontal="center" vertical="center" wrapText="1"/>
    </xf>
    <xf numFmtId="0" fontId="41" fillId="0" borderId="42" xfId="0" applyFont="1" applyBorder="1" applyAlignment="1" applyProtection="1">
      <alignment horizontal="center" vertical="center" wrapText="1"/>
      <protection locked="0"/>
    </xf>
    <xf numFmtId="0" fontId="41" fillId="0" borderId="11" xfId="0" applyFont="1" applyBorder="1" applyAlignment="1" applyProtection="1">
      <alignment horizontal="center" vertical="center" wrapText="1"/>
      <protection locked="0"/>
    </xf>
    <xf numFmtId="0" fontId="41" fillId="0" borderId="14" xfId="0" applyFont="1" applyBorder="1" applyAlignment="1" applyProtection="1">
      <alignment horizontal="center" vertical="center" wrapText="1"/>
      <protection locked="0"/>
    </xf>
    <xf numFmtId="0" fontId="40" fillId="0" borderId="11" xfId="0" applyFont="1" applyBorder="1" applyAlignment="1" applyProtection="1">
      <alignment horizontal="center" vertical="center" wrapText="1"/>
      <protection locked="0"/>
    </xf>
    <xf numFmtId="0" fontId="40" fillId="0" borderId="12"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14" fillId="2" borderId="0" xfId="0" applyFont="1" applyFill="1" applyAlignment="1">
      <alignment horizontal="center" vertical="center"/>
    </xf>
    <xf numFmtId="14" fontId="4" fillId="2" borderId="1" xfId="0" applyNumberFormat="1" applyFont="1" applyFill="1" applyBorder="1" applyAlignment="1" applyProtection="1">
      <alignment horizontal="center" vertical="center" wrapText="1"/>
      <protection locked="0"/>
    </xf>
    <xf numFmtId="14" fontId="4" fillId="2" borderId="2" xfId="0" applyNumberFormat="1" applyFont="1" applyFill="1" applyBorder="1" applyAlignment="1" applyProtection="1">
      <alignment horizontal="center" vertical="center" wrapText="1"/>
      <protection locked="0"/>
    </xf>
    <xf numFmtId="14" fontId="4" fillId="2" borderId="6" xfId="0" applyNumberFormat="1" applyFont="1" applyFill="1" applyBorder="1" applyAlignment="1" applyProtection="1">
      <alignment horizontal="center" vertical="center" wrapText="1"/>
      <protection locked="0"/>
    </xf>
    <xf numFmtId="14" fontId="4" fillId="2" borderId="7" xfId="0" applyNumberFormat="1" applyFont="1" applyFill="1" applyBorder="1" applyAlignment="1" applyProtection="1">
      <alignment horizontal="center" vertical="center" wrapText="1"/>
      <protection locked="0"/>
    </xf>
    <xf numFmtId="10" fontId="4" fillId="8" borderId="10" xfId="2" applyNumberFormat="1" applyFont="1" applyFill="1" applyBorder="1" applyAlignment="1" applyProtection="1">
      <alignment horizontal="center" vertical="center" wrapText="1"/>
    </xf>
    <xf numFmtId="10" fontId="4" fillId="8" borderId="12" xfId="2" applyNumberFormat="1" applyFont="1" applyFill="1" applyBorder="1" applyAlignment="1" applyProtection="1">
      <alignment horizontal="center" vertical="center" wrapText="1"/>
    </xf>
    <xf numFmtId="0" fontId="43" fillId="0" borderId="10" xfId="0" applyFont="1" applyBorder="1" applyAlignment="1">
      <alignment horizontal="center" vertical="center"/>
    </xf>
    <xf numFmtId="0" fontId="43" fillId="0" borderId="12" xfId="0" applyFont="1" applyBorder="1" applyAlignment="1">
      <alignment horizontal="center" vertical="center"/>
    </xf>
    <xf numFmtId="9" fontId="4" fillId="8" borderId="10" xfId="0" applyNumberFormat="1" applyFont="1" applyFill="1" applyBorder="1" applyAlignment="1">
      <alignment horizontal="center" vertical="center" wrapText="1"/>
    </xf>
    <xf numFmtId="9" fontId="4" fillId="8" borderId="12" xfId="0" applyNumberFormat="1" applyFont="1" applyFill="1" applyBorder="1" applyAlignment="1">
      <alignment horizontal="center" vertical="center" wrapText="1"/>
    </xf>
    <xf numFmtId="9" fontId="4" fillId="8" borderId="10" xfId="2" applyFont="1" applyFill="1" applyBorder="1" applyAlignment="1" applyProtection="1">
      <alignment horizontal="center" vertical="center" wrapText="1"/>
    </xf>
    <xf numFmtId="9" fontId="4" fillId="8" borderId="12" xfId="2" applyFont="1" applyFill="1" applyBorder="1" applyAlignment="1" applyProtection="1">
      <alignment horizontal="center" vertical="center" wrapText="1"/>
    </xf>
    <xf numFmtId="9" fontId="4" fillId="2" borderId="10" xfId="0" applyNumberFormat="1" applyFont="1" applyFill="1" applyBorder="1" applyAlignment="1" applyProtection="1">
      <alignment horizontal="center" vertical="center" wrapText="1"/>
      <protection locked="0"/>
    </xf>
    <xf numFmtId="9" fontId="4" fillId="2" borderId="12" xfId="0" applyNumberFormat="1" applyFont="1" applyFill="1" applyBorder="1" applyAlignment="1" applyProtection="1">
      <alignment horizontal="center" vertical="center" wrapText="1"/>
      <protection locked="0"/>
    </xf>
    <xf numFmtId="0" fontId="50" fillId="10" borderId="10" xfId="0" applyFont="1" applyFill="1" applyBorder="1" applyAlignment="1">
      <alignment horizontal="center" vertical="center"/>
    </xf>
    <xf numFmtId="0" fontId="50" fillId="10" borderId="12" xfId="0" applyFont="1" applyFill="1" applyBorder="1" applyAlignment="1">
      <alignment horizontal="center" vertical="center"/>
    </xf>
    <xf numFmtId="14" fontId="12" fillId="2" borderId="1" xfId="0" applyNumberFormat="1" applyFont="1" applyFill="1" applyBorder="1" applyAlignment="1">
      <alignment horizontal="center" vertical="center" wrapText="1"/>
    </xf>
    <xf numFmtId="14" fontId="12" fillId="2" borderId="2" xfId="0" applyNumberFormat="1" applyFont="1" applyFill="1" applyBorder="1" applyAlignment="1">
      <alignment horizontal="center" vertical="center" wrapText="1"/>
    </xf>
    <xf numFmtId="14" fontId="12" fillId="2" borderId="6" xfId="0" applyNumberFormat="1" applyFont="1" applyFill="1" applyBorder="1" applyAlignment="1">
      <alignment horizontal="center" vertical="center" wrapText="1"/>
    </xf>
    <xf numFmtId="14" fontId="12" fillId="2" borderId="7" xfId="0" applyNumberFormat="1" applyFont="1" applyFill="1" applyBorder="1" applyAlignment="1">
      <alignment horizontal="center" vertical="center" wrapText="1"/>
    </xf>
    <xf numFmtId="0" fontId="38" fillId="2" borderId="10" xfId="0" applyFont="1" applyFill="1" applyBorder="1" applyAlignment="1">
      <alignment horizontal="center" vertical="center"/>
    </xf>
    <xf numFmtId="0" fontId="38" fillId="2" borderId="12" xfId="0" applyFont="1" applyFill="1" applyBorder="1" applyAlignment="1">
      <alignment horizontal="center" vertical="center"/>
    </xf>
    <xf numFmtId="0" fontId="11" fillId="5" borderId="16" xfId="0" applyFont="1" applyFill="1" applyBorder="1" applyAlignment="1">
      <alignment horizontal="center" vertical="center" wrapText="1"/>
    </xf>
    <xf numFmtId="0" fontId="11" fillId="5" borderId="13" xfId="0" applyFont="1" applyFill="1" applyBorder="1" applyAlignment="1">
      <alignment horizontal="center" vertical="center" wrapText="1"/>
    </xf>
    <xf numFmtId="14" fontId="12" fillId="2" borderId="40" xfId="0" applyNumberFormat="1" applyFont="1" applyFill="1" applyBorder="1" applyAlignment="1">
      <alignment horizontal="center" vertical="center" wrapText="1"/>
    </xf>
    <xf numFmtId="14" fontId="12" fillId="2" borderId="44" xfId="0" applyNumberFormat="1" applyFont="1" applyFill="1" applyBorder="1" applyAlignment="1">
      <alignment horizontal="center" vertical="center" wrapText="1"/>
    </xf>
    <xf numFmtId="14" fontId="12" fillId="2" borderId="9" xfId="0" applyNumberFormat="1" applyFont="1" applyFill="1" applyBorder="1" applyAlignment="1">
      <alignment horizontal="center" vertical="center" wrapText="1"/>
    </xf>
    <xf numFmtId="14" fontId="12" fillId="2" borderId="8" xfId="0" applyNumberFormat="1" applyFont="1" applyFill="1" applyBorder="1" applyAlignment="1">
      <alignment horizontal="center" vertical="center" wrapText="1"/>
    </xf>
    <xf numFmtId="0" fontId="8" fillId="5" borderId="42" xfId="0" applyFont="1" applyFill="1" applyBorder="1" applyAlignment="1">
      <alignment horizontal="center" vertical="center" textRotation="90" wrapText="1"/>
    </xf>
    <xf numFmtId="0" fontId="8" fillId="5" borderId="12" xfId="0" applyFont="1" applyFill="1" applyBorder="1" applyAlignment="1">
      <alignment horizontal="center" vertical="center" textRotation="90" wrapText="1"/>
    </xf>
    <xf numFmtId="0" fontId="8" fillId="5" borderId="65" xfId="0" applyFont="1" applyFill="1" applyBorder="1" applyAlignment="1">
      <alignment horizontal="center" vertical="center" textRotation="90" wrapText="1"/>
    </xf>
    <xf numFmtId="0" fontId="8" fillId="5" borderId="19" xfId="0" applyFont="1" applyFill="1" applyBorder="1" applyAlignment="1">
      <alignment horizontal="center" vertical="center" textRotation="90" wrapText="1"/>
    </xf>
    <xf numFmtId="0" fontId="23" fillId="18" borderId="18" xfId="0" applyFont="1" applyFill="1" applyBorder="1" applyAlignment="1">
      <alignment horizontal="center" vertical="center" wrapText="1"/>
    </xf>
    <xf numFmtId="0" fontId="23" fillId="18" borderId="39" xfId="0" applyFont="1" applyFill="1" applyBorder="1" applyAlignment="1">
      <alignment horizontal="center" vertical="center" wrapText="1"/>
    </xf>
    <xf numFmtId="0" fontId="23" fillId="18" borderId="67" xfId="0" applyFont="1" applyFill="1" applyBorder="1" applyAlignment="1">
      <alignment horizontal="center" vertical="center" textRotation="90" wrapText="1"/>
    </xf>
    <xf numFmtId="0" fontId="23" fillId="18" borderId="28" xfId="0" applyFont="1" applyFill="1" applyBorder="1" applyAlignment="1">
      <alignment horizontal="center" vertical="center" textRotation="90" wrapText="1"/>
    </xf>
    <xf numFmtId="0" fontId="31" fillId="5" borderId="65" xfId="0" applyFont="1" applyFill="1" applyBorder="1" applyAlignment="1">
      <alignment horizontal="center" vertical="center" textRotation="90" wrapText="1"/>
    </xf>
    <xf numFmtId="0" fontId="31" fillId="5" borderId="30" xfId="0" applyFont="1" applyFill="1" applyBorder="1" applyAlignment="1">
      <alignment horizontal="center" vertical="center" textRotation="90" wrapText="1"/>
    </xf>
    <xf numFmtId="0" fontId="23" fillId="21" borderId="18" xfId="0" applyFont="1" applyFill="1" applyBorder="1" applyAlignment="1">
      <alignment horizontal="center" vertical="center" textRotation="90" wrapText="1"/>
    </xf>
    <xf numFmtId="0" fontId="23" fillId="21" borderId="39" xfId="0" applyFont="1" applyFill="1" applyBorder="1" applyAlignment="1">
      <alignment horizontal="center" vertical="center" textRotation="90" wrapText="1"/>
    </xf>
    <xf numFmtId="0" fontId="31" fillId="5" borderId="18" xfId="0" applyFont="1" applyFill="1" applyBorder="1" applyAlignment="1">
      <alignment horizontal="center" vertical="center" wrapText="1"/>
    </xf>
    <xf numFmtId="0" fontId="31" fillId="5" borderId="39" xfId="0" applyFont="1" applyFill="1" applyBorder="1" applyAlignment="1">
      <alignment horizontal="center" vertical="center" wrapText="1"/>
    </xf>
    <xf numFmtId="0" fontId="8" fillId="5" borderId="67" xfId="0" applyFont="1" applyFill="1" applyBorder="1" applyAlignment="1">
      <alignment horizontal="center" vertical="center" wrapText="1"/>
    </xf>
    <xf numFmtId="0" fontId="8" fillId="5" borderId="28" xfId="0" applyFont="1" applyFill="1" applyBorder="1" applyAlignment="1">
      <alignment horizontal="center" vertical="center" wrapText="1"/>
    </xf>
    <xf numFmtId="0" fontId="21" fillId="20" borderId="40" xfId="0" applyFont="1" applyFill="1" applyBorder="1" applyAlignment="1">
      <alignment horizontal="center" vertical="center"/>
    </xf>
    <xf numFmtId="0" fontId="21" fillId="20" borderId="70" xfId="0" applyFont="1" applyFill="1" applyBorder="1" applyAlignment="1">
      <alignment horizontal="center" vertical="center"/>
    </xf>
    <xf numFmtId="0" fontId="21" fillId="20" borderId="71" xfId="0" applyFont="1" applyFill="1" applyBorder="1" applyAlignment="1">
      <alignment horizontal="center" vertical="center"/>
    </xf>
    <xf numFmtId="0" fontId="8" fillId="5" borderId="42" xfId="0" applyFont="1" applyFill="1" applyBorder="1" applyAlignment="1">
      <alignment horizontal="center" vertical="center" wrapText="1"/>
    </xf>
    <xf numFmtId="0" fontId="8" fillId="5" borderId="12" xfId="0" applyFont="1" applyFill="1" applyBorder="1" applyAlignment="1">
      <alignment horizontal="center" vertical="center" wrapText="1"/>
    </xf>
    <xf numFmtId="0" fontId="11" fillId="5" borderId="34" xfId="0" applyFont="1" applyFill="1" applyBorder="1" applyAlignment="1">
      <alignment horizontal="center" vertical="center" wrapText="1"/>
    </xf>
    <xf numFmtId="0" fontId="11" fillId="5" borderId="35" xfId="0" applyFont="1" applyFill="1" applyBorder="1" applyAlignment="1">
      <alignment horizontal="center" vertical="center" wrapText="1"/>
    </xf>
    <xf numFmtId="0" fontId="11" fillId="5" borderId="38" xfId="0" applyFont="1" applyFill="1" applyBorder="1" applyAlignment="1">
      <alignment horizontal="center" vertical="center" wrapText="1"/>
    </xf>
    <xf numFmtId="0" fontId="11" fillId="5" borderId="15" xfId="0" applyFont="1" applyFill="1" applyBorder="1" applyAlignment="1">
      <alignment horizontal="center" vertical="center" wrapText="1"/>
    </xf>
    <xf numFmtId="0" fontId="11" fillId="5" borderId="26" xfId="0" applyFont="1" applyFill="1" applyBorder="1" applyAlignment="1">
      <alignment horizontal="center" vertical="center" wrapText="1"/>
    </xf>
    <xf numFmtId="0" fontId="23" fillId="18" borderId="25" xfId="0" applyFont="1" applyFill="1" applyBorder="1" applyAlignment="1">
      <alignment horizontal="center" vertical="center" textRotation="90" wrapText="1"/>
    </xf>
    <xf numFmtId="0" fontId="23" fillId="18" borderId="42" xfId="0" applyFont="1" applyFill="1" applyBorder="1" applyAlignment="1">
      <alignment horizontal="center" vertical="center" textRotation="90" wrapText="1"/>
    </xf>
    <xf numFmtId="0" fontId="23" fillId="18" borderId="12" xfId="0" applyFont="1" applyFill="1" applyBorder="1" applyAlignment="1">
      <alignment horizontal="center" vertical="center" textRotation="90" wrapText="1"/>
    </xf>
    <xf numFmtId="0" fontId="8" fillId="17" borderId="42" xfId="0" applyFont="1" applyFill="1" applyBorder="1" applyAlignment="1">
      <alignment horizontal="center" vertical="center" textRotation="90" wrapText="1"/>
    </xf>
    <xf numFmtId="0" fontId="8" fillId="17" borderId="12" xfId="0" applyFont="1" applyFill="1" applyBorder="1" applyAlignment="1">
      <alignment horizontal="center" vertical="center" textRotation="90" wrapText="1"/>
    </xf>
    <xf numFmtId="0" fontId="8" fillId="5" borderId="18" xfId="0" applyFont="1" applyFill="1" applyBorder="1" applyAlignment="1">
      <alignment horizontal="center" vertical="center" wrapText="1"/>
    </xf>
    <xf numFmtId="0" fontId="8" fillId="5" borderId="22" xfId="0" applyFont="1" applyFill="1" applyBorder="1" applyAlignment="1">
      <alignment horizontal="center" vertical="center" wrapText="1"/>
    </xf>
    <xf numFmtId="0" fontId="29" fillId="18" borderId="18" xfId="0" applyFont="1" applyFill="1" applyBorder="1" applyAlignment="1">
      <alignment horizontal="center" vertical="center" wrapText="1"/>
    </xf>
    <xf numFmtId="0" fontId="29" fillId="18" borderId="22" xfId="0" applyFont="1" applyFill="1" applyBorder="1" applyAlignment="1">
      <alignment horizontal="center" vertical="center" wrapText="1"/>
    </xf>
    <xf numFmtId="0" fontId="8" fillId="5" borderId="14"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5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5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69"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7" fillId="3" borderId="68" xfId="0" applyFont="1" applyFill="1" applyBorder="1" applyAlignment="1">
      <alignment horizontal="center" vertical="center" wrapText="1"/>
    </xf>
    <xf numFmtId="0" fontId="37" fillId="3" borderId="37" xfId="0" applyFont="1" applyFill="1" applyBorder="1" applyAlignment="1">
      <alignment horizontal="center" vertical="center" wrapText="1"/>
    </xf>
    <xf numFmtId="0" fontId="30" fillId="7" borderId="32" xfId="0" applyFont="1" applyFill="1" applyBorder="1" applyAlignment="1">
      <alignment horizontal="center" vertical="center" wrapText="1"/>
    </xf>
    <xf numFmtId="0" fontId="30" fillId="7" borderId="33" xfId="0" applyFont="1" applyFill="1" applyBorder="1" applyAlignment="1">
      <alignment horizontal="center" vertical="center" wrapText="1"/>
    </xf>
    <xf numFmtId="0" fontId="30" fillId="7" borderId="34" xfId="0" applyFont="1" applyFill="1" applyBorder="1" applyAlignment="1">
      <alignment horizontal="center" vertical="center" wrapText="1"/>
    </xf>
    <xf numFmtId="0" fontId="30" fillId="7" borderId="23" xfId="0" applyFont="1" applyFill="1" applyBorder="1" applyAlignment="1">
      <alignment horizontal="center" vertical="center" wrapText="1"/>
    </xf>
    <xf numFmtId="0" fontId="30" fillId="7" borderId="0" xfId="0" applyFont="1" applyFill="1" applyAlignment="1">
      <alignment horizontal="center" vertical="center" wrapText="1"/>
    </xf>
    <xf numFmtId="0" fontId="30" fillId="7" borderId="35" xfId="0" applyFont="1" applyFill="1" applyBorder="1" applyAlignment="1">
      <alignment horizontal="center" vertical="center" wrapText="1"/>
    </xf>
    <xf numFmtId="0" fontId="30" fillId="7" borderId="36" xfId="0" applyFont="1" applyFill="1" applyBorder="1" applyAlignment="1">
      <alignment horizontal="center" vertical="center" wrapText="1"/>
    </xf>
    <xf numFmtId="0" fontId="30" fillId="7" borderId="37" xfId="0" applyFont="1" applyFill="1" applyBorder="1" applyAlignment="1">
      <alignment horizontal="center" vertical="center" wrapText="1"/>
    </xf>
    <xf numFmtId="0" fontId="30" fillId="7" borderId="38" xfId="0" applyFont="1" applyFill="1" applyBorder="1" applyAlignment="1">
      <alignment horizontal="center" vertical="center" wrapText="1"/>
    </xf>
    <xf numFmtId="0" fontId="8" fillId="5" borderId="40" xfId="0" applyFont="1" applyFill="1" applyBorder="1" applyAlignment="1">
      <alignment horizontal="center" vertical="center" wrapText="1"/>
    </xf>
    <xf numFmtId="0" fontId="8" fillId="5" borderId="44" xfId="0" applyFont="1" applyFill="1" applyBorder="1" applyAlignment="1">
      <alignment horizontal="center" vertical="center" wrapText="1"/>
    </xf>
    <xf numFmtId="0" fontId="8" fillId="5" borderId="65" xfId="0" applyFont="1" applyFill="1" applyBorder="1" applyAlignment="1">
      <alignment horizontal="center" vertical="center" wrapText="1"/>
    </xf>
    <xf numFmtId="0" fontId="8" fillId="5" borderId="19" xfId="0" applyFont="1" applyFill="1" applyBorder="1" applyAlignment="1">
      <alignment horizontal="center" vertical="center" wrapText="1"/>
    </xf>
    <xf numFmtId="0" fontId="8" fillId="5" borderId="39" xfId="0" applyFont="1" applyFill="1" applyBorder="1" applyAlignment="1">
      <alignment horizontal="center" vertical="center" wrapText="1"/>
    </xf>
    <xf numFmtId="0" fontId="8" fillId="5" borderId="29" xfId="0" applyFont="1" applyFill="1" applyBorder="1" applyAlignment="1">
      <alignment horizontal="center" vertical="center" wrapText="1"/>
    </xf>
    <xf numFmtId="0" fontId="8" fillId="5" borderId="25" xfId="0" applyFont="1" applyFill="1" applyBorder="1" applyAlignment="1">
      <alignment horizontal="center" vertical="center" wrapText="1"/>
    </xf>
    <xf numFmtId="0" fontId="12" fillId="0" borderId="3" xfId="0" applyFont="1" applyBorder="1" applyAlignment="1">
      <alignment horizontal="center" vertical="center"/>
    </xf>
    <xf numFmtId="10" fontId="4" fillId="0" borderId="3" xfId="2" applyNumberFormat="1" applyFont="1" applyFill="1" applyBorder="1" applyAlignment="1" applyProtection="1">
      <alignment horizontal="center" vertical="center" wrapText="1"/>
    </xf>
    <xf numFmtId="0" fontId="4" fillId="0" borderId="3" xfId="0" applyFont="1" applyBorder="1" applyAlignment="1">
      <alignment horizontal="center" vertical="center" wrapText="1"/>
    </xf>
    <xf numFmtId="0" fontId="41" fillId="0" borderId="3" xfId="0" applyFont="1" applyBorder="1" applyAlignment="1" applyProtection="1">
      <alignment horizontal="center" vertical="center" wrapText="1"/>
      <protection locked="0"/>
    </xf>
    <xf numFmtId="0" fontId="52" fillId="0" borderId="3" xfId="0" applyFont="1" applyBorder="1" applyAlignment="1">
      <alignment horizontal="center" vertical="center" wrapText="1"/>
    </xf>
    <xf numFmtId="9" fontId="4" fillId="0" borderId="3" xfId="2" applyFont="1" applyFill="1" applyBorder="1" applyAlignment="1" applyProtection="1">
      <alignment horizontal="center" vertical="center" wrapText="1"/>
    </xf>
    <xf numFmtId="0" fontId="12" fillId="0" borderId="3" xfId="0" applyFont="1" applyBorder="1" applyAlignment="1" applyProtection="1">
      <alignment horizontal="center" vertical="center" wrapText="1"/>
      <protection locked="0"/>
    </xf>
    <xf numFmtId="0" fontId="4" fillId="0" borderId="3" xfId="1" applyFont="1" applyBorder="1" applyAlignment="1">
      <alignment horizontal="center" vertical="center" wrapText="1"/>
    </xf>
    <xf numFmtId="0" fontId="40" fillId="0" borderId="3" xfId="0" applyFont="1" applyBorder="1" applyAlignment="1" applyProtection="1">
      <alignment horizontal="center" vertical="center" wrapText="1"/>
      <protection locked="0"/>
    </xf>
    <xf numFmtId="0" fontId="36" fillId="7" borderId="3" xfId="0" applyFont="1" applyFill="1" applyBorder="1" applyAlignment="1">
      <alignment horizontal="center" vertical="center"/>
    </xf>
    <xf numFmtId="0" fontId="39" fillId="0" borderId="3" xfId="0" applyFont="1" applyBorder="1" applyAlignment="1">
      <alignment horizontal="center" vertical="center"/>
    </xf>
    <xf numFmtId="0" fontId="11" fillId="5" borderId="10" xfId="0" applyFont="1" applyFill="1" applyBorder="1" applyAlignment="1">
      <alignment horizontal="center" vertical="center" wrapText="1"/>
    </xf>
    <xf numFmtId="0" fontId="8" fillId="5" borderId="47"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23" fillId="18" borderId="47" xfId="0" applyFont="1" applyFill="1" applyBorder="1" applyAlignment="1">
      <alignment horizontal="center" vertical="center" textRotation="90" wrapText="1"/>
    </xf>
    <xf numFmtId="0" fontId="23" fillId="21" borderId="20" xfId="0" applyFont="1" applyFill="1" applyBorder="1" applyAlignment="1">
      <alignment horizontal="center" vertical="center" textRotation="90" wrapText="1"/>
    </xf>
    <xf numFmtId="0" fontId="31" fillId="5" borderId="20" xfId="0" applyFont="1" applyFill="1" applyBorder="1" applyAlignment="1">
      <alignment horizontal="center" vertical="center" wrapText="1"/>
    </xf>
    <xf numFmtId="0" fontId="8" fillId="5" borderId="26" xfId="0" applyFont="1" applyFill="1" applyBorder="1" applyAlignment="1">
      <alignment horizontal="center" vertical="center" wrapText="1"/>
    </xf>
    <xf numFmtId="0" fontId="21" fillId="20" borderId="0" xfId="0" applyFont="1" applyFill="1" applyAlignment="1">
      <alignment horizontal="center" vertical="center"/>
    </xf>
    <xf numFmtId="0" fontId="21" fillId="20" borderId="35" xfId="0" applyFont="1" applyFill="1" applyBorder="1" applyAlignment="1">
      <alignment horizontal="center" vertical="center"/>
    </xf>
    <xf numFmtId="0" fontId="8" fillId="5" borderId="4"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29" fillId="18" borderId="20"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31" fillId="5" borderId="29" xfId="0" applyFont="1" applyFill="1" applyBorder="1" applyAlignment="1">
      <alignment horizontal="center" vertical="center" textRotation="90" wrapText="1"/>
    </xf>
    <xf numFmtId="0" fontId="29" fillId="18" borderId="23" xfId="0" applyFont="1" applyFill="1" applyBorder="1" applyAlignment="1">
      <alignment horizontal="center" vertical="center" wrapText="1"/>
    </xf>
    <xf numFmtId="0" fontId="29" fillId="18" borderId="36" xfId="0" applyFont="1" applyFill="1" applyBorder="1" applyAlignment="1">
      <alignment horizontal="center" vertical="center" wrapText="1"/>
    </xf>
    <xf numFmtId="0" fontId="11" fillId="5" borderId="55" xfId="0" applyFont="1" applyFill="1" applyBorder="1" applyAlignment="1">
      <alignment horizontal="center" vertical="center" wrapText="1"/>
    </xf>
    <xf numFmtId="0" fontId="23" fillId="18" borderId="41" xfId="0" applyFont="1" applyFill="1" applyBorder="1" applyAlignment="1">
      <alignment horizontal="center" vertical="center" textRotation="90" wrapText="1"/>
    </xf>
    <xf numFmtId="0" fontId="23" fillId="18" borderId="7" xfId="0" applyFont="1" applyFill="1" applyBorder="1" applyAlignment="1">
      <alignment horizontal="center" vertical="center" textRotation="90" wrapText="1"/>
    </xf>
    <xf numFmtId="0" fontId="8" fillId="5" borderId="27" xfId="0" applyFont="1" applyFill="1" applyBorder="1" applyAlignment="1">
      <alignment horizontal="center" vertical="center" wrapText="1"/>
    </xf>
    <xf numFmtId="0" fontId="8" fillId="5" borderId="31" xfId="0" applyFont="1" applyFill="1" applyBorder="1" applyAlignment="1">
      <alignment horizontal="center" vertical="center" wrapText="1"/>
    </xf>
    <xf numFmtId="0" fontId="8" fillId="5" borderId="43" xfId="0" applyFont="1" applyFill="1" applyBorder="1" applyAlignment="1">
      <alignment horizontal="center" vertical="center" wrapText="1"/>
    </xf>
    <xf numFmtId="0" fontId="8" fillId="5" borderId="13" xfId="0" applyFont="1" applyFill="1" applyBorder="1" applyAlignment="1">
      <alignment horizontal="center" vertical="center" wrapText="1"/>
    </xf>
    <xf numFmtId="0" fontId="37" fillId="3" borderId="4" xfId="0" applyFont="1" applyFill="1" applyBorder="1" applyAlignment="1">
      <alignment horizontal="center" vertical="center" wrapText="1"/>
    </xf>
    <xf numFmtId="0" fontId="37" fillId="3" borderId="0" xfId="0" applyFont="1" applyFill="1" applyAlignment="1">
      <alignment horizontal="center" vertical="center" wrapText="1"/>
    </xf>
    <xf numFmtId="0" fontId="18" fillId="4" borderId="3" xfId="0" applyFont="1" applyFill="1" applyBorder="1" applyAlignment="1">
      <alignment horizontal="center" vertical="center" wrapText="1"/>
    </xf>
    <xf numFmtId="0" fontId="28" fillId="7" borderId="0" xfId="0" applyFont="1" applyFill="1" applyAlignment="1">
      <alignment horizontal="center" vertical="center"/>
    </xf>
    <xf numFmtId="0" fontId="18" fillId="4" borderId="10" xfId="0" applyFont="1" applyFill="1" applyBorder="1" applyAlignment="1">
      <alignment horizontal="center" vertical="center" wrapText="1"/>
    </xf>
    <xf numFmtId="0" fontId="18" fillId="4" borderId="11" xfId="0" applyFont="1" applyFill="1" applyBorder="1" applyAlignment="1">
      <alignment horizontal="center" vertical="center" wrapText="1"/>
    </xf>
    <xf numFmtId="0" fontId="18" fillId="9" borderId="10" xfId="0" applyFont="1" applyFill="1" applyBorder="1" applyAlignment="1">
      <alignment horizontal="center" vertical="center" wrapText="1"/>
    </xf>
    <xf numFmtId="0" fontId="18" fillId="9" borderId="11" xfId="0" applyFont="1" applyFill="1" applyBorder="1" applyAlignment="1">
      <alignment horizontal="center" vertical="center" wrapText="1"/>
    </xf>
    <xf numFmtId="0" fontId="26" fillId="14" borderId="18" xfId="0" applyFont="1" applyFill="1" applyBorder="1" applyAlignment="1">
      <alignment horizontal="center" vertical="center" textRotation="90"/>
    </xf>
    <xf numFmtId="0" fontId="26" fillId="14" borderId="20" xfId="0" applyFont="1" applyFill="1" applyBorder="1" applyAlignment="1">
      <alignment horizontal="center" vertical="center" textRotation="90"/>
    </xf>
    <xf numFmtId="0" fontId="26" fillId="14" borderId="22" xfId="0" applyFont="1" applyFill="1" applyBorder="1" applyAlignment="1">
      <alignment horizontal="center" vertical="center" textRotation="90"/>
    </xf>
    <xf numFmtId="0" fontId="24" fillId="15" borderId="18" xfId="0" applyFont="1" applyFill="1" applyBorder="1" applyAlignment="1">
      <alignment horizontal="center" vertical="center" textRotation="90"/>
    </xf>
    <xf numFmtId="0" fontId="24" fillId="15" borderId="20" xfId="0" applyFont="1" applyFill="1" applyBorder="1" applyAlignment="1">
      <alignment horizontal="center" vertical="center" textRotation="90"/>
    </xf>
    <xf numFmtId="0" fontId="24" fillId="15" borderId="22" xfId="0" applyFont="1" applyFill="1" applyBorder="1" applyAlignment="1">
      <alignment horizontal="center" vertical="center" textRotation="90"/>
    </xf>
    <xf numFmtId="0" fontId="25" fillId="16" borderId="32" xfId="0" applyFont="1" applyFill="1" applyBorder="1" applyAlignment="1">
      <alignment horizontal="center" vertical="center"/>
    </xf>
    <xf numFmtId="0" fontId="25" fillId="16" borderId="33" xfId="0" applyFont="1" applyFill="1" applyBorder="1" applyAlignment="1">
      <alignment horizontal="center" vertical="center"/>
    </xf>
    <xf numFmtId="0" fontId="25" fillId="16" borderId="34" xfId="0" applyFont="1" applyFill="1" applyBorder="1" applyAlignment="1">
      <alignment horizontal="center" vertical="center"/>
    </xf>
    <xf numFmtId="0" fontId="25" fillId="16" borderId="23" xfId="0" applyFont="1" applyFill="1" applyBorder="1" applyAlignment="1">
      <alignment horizontal="center" vertical="center"/>
    </xf>
    <xf numFmtId="0" fontId="25" fillId="16" borderId="0" xfId="0" applyFont="1" applyFill="1" applyAlignment="1">
      <alignment horizontal="center" vertical="center"/>
    </xf>
    <xf numFmtId="0" fontId="25" fillId="16" borderId="35" xfId="0" applyFont="1" applyFill="1" applyBorder="1" applyAlignment="1">
      <alignment horizontal="center" vertical="center"/>
    </xf>
    <xf numFmtId="0" fontId="25" fillId="16" borderId="36" xfId="0" applyFont="1" applyFill="1" applyBorder="1" applyAlignment="1">
      <alignment horizontal="center" vertical="center"/>
    </xf>
    <xf numFmtId="0" fontId="25" fillId="16" borderId="37" xfId="0" applyFont="1" applyFill="1" applyBorder="1" applyAlignment="1">
      <alignment horizontal="center" vertical="center"/>
    </xf>
    <xf numFmtId="0" fontId="25" fillId="16" borderId="38" xfId="0" applyFont="1" applyFill="1" applyBorder="1" applyAlignment="1">
      <alignment horizontal="center" vertical="center"/>
    </xf>
    <xf numFmtId="0" fontId="0" fillId="0" borderId="4" xfId="0" applyBorder="1" applyAlignment="1">
      <alignment horizontal="center"/>
    </xf>
    <xf numFmtId="0" fontId="22" fillId="7" borderId="0" xfId="0" applyFont="1" applyFill="1" applyAlignment="1">
      <alignment horizontal="center" vertical="center"/>
    </xf>
    <xf numFmtId="0" fontId="4" fillId="2" borderId="10" xfId="0" applyFont="1" applyFill="1" applyBorder="1" applyAlignment="1" applyProtection="1">
      <alignment horizontal="justify" vertical="center" wrapText="1"/>
      <protection locked="0"/>
    </xf>
    <xf numFmtId="0" fontId="52" fillId="22" borderId="11" xfId="0" applyFont="1" applyFill="1" applyBorder="1" applyAlignment="1">
      <alignment horizontal="center" vertical="center" wrapText="1"/>
    </xf>
    <xf numFmtId="0" fontId="52" fillId="22" borderId="10" xfId="0" applyFont="1" applyFill="1" applyBorder="1" applyAlignment="1">
      <alignment horizontal="center" vertical="center" wrapText="1"/>
    </xf>
    <xf numFmtId="0" fontId="52" fillId="22" borderId="10" xfId="0" applyFont="1" applyFill="1" applyBorder="1" applyAlignment="1" applyProtection="1">
      <alignment horizontal="center" vertical="center" wrapText="1"/>
      <protection locked="0"/>
    </xf>
    <xf numFmtId="0" fontId="4" fillId="26" borderId="10" xfId="0" applyFont="1" applyFill="1" applyBorder="1" applyAlignment="1">
      <alignment horizontal="center" vertical="center" wrapText="1"/>
    </xf>
    <xf numFmtId="0" fontId="4" fillId="22" borderId="10" xfId="0" applyFont="1" applyFill="1" applyBorder="1" applyAlignment="1">
      <alignment horizontal="center" vertical="center" wrapText="1"/>
    </xf>
    <xf numFmtId="9" fontId="4" fillId="22" borderId="10" xfId="2" applyFont="1" applyFill="1" applyBorder="1" applyAlignment="1" applyProtection="1">
      <alignment horizontal="center" vertical="center" wrapText="1"/>
    </xf>
    <xf numFmtId="10" fontId="4" fillId="22" borderId="10" xfId="2" applyNumberFormat="1" applyFont="1" applyFill="1" applyBorder="1" applyAlignment="1" applyProtection="1">
      <alignment horizontal="center" vertical="center" wrapText="1"/>
    </xf>
    <xf numFmtId="0" fontId="41" fillId="22" borderId="10" xfId="0" applyFont="1" applyFill="1" applyBorder="1" applyAlignment="1" applyProtection="1">
      <alignment horizontal="center" vertical="center" wrapText="1"/>
      <protection locked="0"/>
    </xf>
    <xf numFmtId="0" fontId="4" fillId="22" borderId="10" xfId="0" applyFont="1" applyFill="1" applyBorder="1" applyAlignment="1" applyProtection="1">
      <alignment horizontal="center" vertical="center" wrapText="1"/>
      <protection locked="0"/>
    </xf>
    <xf numFmtId="0" fontId="4" fillId="22" borderId="10" xfId="3" applyFont="1" applyFill="1" applyBorder="1" applyAlignment="1">
      <alignment horizontal="center" vertical="center" wrapText="1"/>
    </xf>
    <xf numFmtId="14" fontId="52" fillId="0" borderId="10" xfId="0" applyNumberFormat="1" applyFont="1" applyFill="1" applyBorder="1" applyAlignment="1">
      <alignment horizontal="center" vertical="center"/>
    </xf>
    <xf numFmtId="0" fontId="52" fillId="0" borderId="10" xfId="0" applyFont="1" applyFill="1" applyBorder="1" applyAlignment="1">
      <alignment horizontal="center" vertical="center"/>
    </xf>
    <xf numFmtId="10" fontId="12" fillId="2" borderId="3" xfId="0" applyNumberFormat="1" applyFont="1" applyFill="1" applyBorder="1" applyAlignment="1">
      <alignment horizontal="center" vertical="center" wrapText="1"/>
    </xf>
    <xf numFmtId="0" fontId="0" fillId="0" borderId="0" xfId="0" applyBorder="1"/>
    <xf numFmtId="0" fontId="5" fillId="0" borderId="0" xfId="0" applyFont="1" applyBorder="1"/>
    <xf numFmtId="0" fontId="0" fillId="2" borderId="0" xfId="0" applyFill="1" applyBorder="1"/>
    <xf numFmtId="0" fontId="5" fillId="2" borderId="0" xfId="0" applyFont="1" applyFill="1" applyBorder="1"/>
    <xf numFmtId="0" fontId="10" fillId="2" borderId="0" xfId="0" applyFont="1" applyFill="1" applyBorder="1"/>
    <xf numFmtId="0" fontId="12" fillId="0" borderId="0" xfId="0" applyFont="1" applyBorder="1" applyAlignment="1">
      <alignment horizontal="justify" vertical="center" wrapText="1"/>
    </xf>
    <xf numFmtId="0" fontId="14" fillId="2" borderId="0" xfId="0" applyFont="1" applyFill="1" applyBorder="1" applyAlignment="1">
      <alignment horizontal="center" vertical="center"/>
    </xf>
    <xf numFmtId="0" fontId="12" fillId="0" borderId="0" xfId="0" applyFont="1" applyBorder="1" applyAlignment="1">
      <alignment horizontal="center" vertical="center" wrapText="1"/>
    </xf>
    <xf numFmtId="0" fontId="10" fillId="2" borderId="0" xfId="0" applyFont="1" applyFill="1" applyBorder="1" applyAlignment="1">
      <alignment horizontal="center" vertical="center" wrapText="1"/>
    </xf>
    <xf numFmtId="0" fontId="52" fillId="22" borderId="3" xfId="0" applyFont="1" applyFill="1" applyBorder="1" applyAlignment="1">
      <alignment horizontal="center" vertical="center"/>
    </xf>
  </cellXfs>
  <cellStyles count="4">
    <cellStyle name="Normal" xfId="0" builtinId="0"/>
    <cellStyle name="Normal 2" xfId="1" xr:uid="{00000000-0005-0000-0000-000001000000}"/>
    <cellStyle name="Normal 5" xfId="3" xr:uid="{3D65A5E6-2B2F-455D-B161-19D2140C1412}"/>
    <cellStyle name="Porcentaje" xfId="2"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10" Type="http://schemas.openxmlformats.org/officeDocument/2006/relationships/externalLink" Target="externalLinks/externalLink3.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hyperlink" Target="#Campos!A1"/><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hyperlink" Target="#Campos!A1"/><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hyperlink" Target="#Campos!A1"/><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hyperlink" Target="#Campos!A1"/><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hyperlink" Target="#Campos!A1"/><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1</xdr:col>
      <xdr:colOff>210794</xdr:colOff>
      <xdr:row>10</xdr:row>
      <xdr:rowOff>116167</xdr:rowOff>
    </xdr:from>
    <xdr:to>
      <xdr:col>7</xdr:col>
      <xdr:colOff>759013</xdr:colOff>
      <xdr:row>31</xdr:row>
      <xdr:rowOff>19704</xdr:rowOff>
    </xdr:to>
    <xdr:pic>
      <xdr:nvPicPr>
        <xdr:cNvPr id="3" name="Imagen 2" descr="Un dibujo de una flor&#10;&#10;Descripción generada automáticamente con confianza media">
          <a:extLst>
            <a:ext uri="{FF2B5EF4-FFF2-40B4-BE49-F238E27FC236}">
              <a16:creationId xmlns:a16="http://schemas.microsoft.com/office/drawing/2014/main" id="{D5D58D98-D35A-9892-3CDA-3A65C6BC60A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2794" y="2319991"/>
          <a:ext cx="5120219" cy="3900302"/>
        </a:xfrm>
        <a:prstGeom prst="rect">
          <a:avLst/>
        </a:prstGeom>
      </xdr:spPr>
    </xdr:pic>
    <xdr:clientData/>
  </xdr:twoCellAnchor>
  <xdr:twoCellAnchor>
    <xdr:from>
      <xdr:col>14</xdr:col>
      <xdr:colOff>330200</xdr:colOff>
      <xdr:row>11</xdr:row>
      <xdr:rowOff>63500</xdr:rowOff>
    </xdr:from>
    <xdr:to>
      <xdr:col>18</xdr:col>
      <xdr:colOff>342900</xdr:colOff>
      <xdr:row>14</xdr:row>
      <xdr:rowOff>101600</xdr:rowOff>
    </xdr:to>
    <xdr:grpSp>
      <xdr:nvGrpSpPr>
        <xdr:cNvPr id="9" name="Grupo 8">
          <a:extLst>
            <a:ext uri="{FF2B5EF4-FFF2-40B4-BE49-F238E27FC236}">
              <a16:creationId xmlns:a16="http://schemas.microsoft.com/office/drawing/2014/main" id="{354CB8D4-D72E-9211-2328-7160B6619438}"/>
            </a:ext>
          </a:extLst>
        </xdr:cNvPr>
        <xdr:cNvGrpSpPr/>
      </xdr:nvGrpSpPr>
      <xdr:grpSpPr>
        <a:xfrm>
          <a:off x="11760200" y="2394857"/>
          <a:ext cx="3278414" cy="582386"/>
          <a:chOff x="7162800" y="2114550"/>
          <a:chExt cx="3060700" cy="590550"/>
        </a:xfrm>
        <a:solidFill>
          <a:schemeClr val="accent4">
            <a:lumMod val="75000"/>
          </a:schemeClr>
        </a:solidFill>
      </xdr:grpSpPr>
      <xdr:sp macro="" textlink="">
        <xdr:nvSpPr>
          <xdr:cNvPr id="7" name="Rectángulo: esquinas redondeadas 6">
            <a:extLst>
              <a:ext uri="{FF2B5EF4-FFF2-40B4-BE49-F238E27FC236}">
                <a16:creationId xmlns:a16="http://schemas.microsoft.com/office/drawing/2014/main" id="{C71ABF19-1408-A473-765E-560B9B0E7A17}"/>
              </a:ext>
            </a:extLst>
          </xdr:cNvPr>
          <xdr:cNvSpPr/>
        </xdr:nvSpPr>
        <xdr:spPr>
          <a:xfrm>
            <a:off x="7162800" y="2120900"/>
            <a:ext cx="1835150" cy="584200"/>
          </a:xfrm>
          <a:prstGeom prst="roundRect">
            <a:avLst/>
          </a:prstGeom>
          <a:grpFill/>
          <a:ln>
            <a:solidFill>
              <a:schemeClr val="tx1"/>
            </a:solidFill>
          </a:ln>
          <a:effectLst>
            <a:outerShdw blurRad="57785" dist="33020" dir="3180000" algn="ctr">
              <a:srgbClr val="000000">
                <a:alpha val="30000"/>
              </a:srgbClr>
            </a:outerShdw>
          </a:effectLst>
          <a:scene3d>
            <a:camera prst="orthographicFront">
              <a:rot lat="0" lon="0" rev="0"/>
            </a:camera>
            <a:lightRig rig="brightRoom" dir="t">
              <a:rot lat="0" lon="0" rev="600000"/>
            </a:lightRig>
          </a:scene3d>
          <a:sp3d prstMaterial="metal">
            <a:bevelT w="38100" h="57150" prst="angle"/>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rgbClr val="FFC000"/>
                </a:solidFill>
                <a:latin typeface="Amasis MT Pro Black" panose="02040A04050005020304" pitchFamily="18" charset="0"/>
              </a:rPr>
              <a:t>Riesgos Fiscales</a:t>
            </a:r>
          </a:p>
        </xdr:txBody>
      </xdr:sp>
      <xdr:sp macro="" textlink="">
        <xdr:nvSpPr>
          <xdr:cNvPr id="8" name="Rectángulo: esquinas redondeadas 7">
            <a:extLst>
              <a:ext uri="{FF2B5EF4-FFF2-40B4-BE49-F238E27FC236}">
                <a16:creationId xmlns:a16="http://schemas.microsoft.com/office/drawing/2014/main" id="{9521F80D-08F5-4AB1-9EED-F5783DE1AE27}"/>
              </a:ext>
            </a:extLst>
          </xdr:cNvPr>
          <xdr:cNvSpPr/>
        </xdr:nvSpPr>
        <xdr:spPr>
          <a:xfrm>
            <a:off x="9156700" y="2114550"/>
            <a:ext cx="1066800" cy="584200"/>
          </a:xfrm>
          <a:prstGeom prst="roundRect">
            <a:avLst/>
          </a:prstGeom>
          <a:solidFill>
            <a:schemeClr val="bg1">
              <a:lumMod val="85000"/>
            </a:schemeClr>
          </a:solidFill>
          <a:ln>
            <a:solidFill>
              <a:schemeClr val="tx1"/>
            </a:solidFill>
          </a:ln>
          <a:effectLst>
            <a:outerShdw blurRad="57785" dist="33020" dir="3180000" algn="ctr">
              <a:srgbClr val="000000">
                <a:alpha val="30000"/>
              </a:srgbClr>
            </a:outerShdw>
          </a:effectLst>
          <a:scene3d>
            <a:camera prst="orthographicFront">
              <a:rot lat="0" lon="0" rev="0"/>
            </a:camera>
            <a:lightRig rig="brightRoom" dir="t">
              <a:rot lat="0" lon="0" rev="600000"/>
            </a:lightRig>
          </a:scene3d>
          <a:sp3d prstMaterial="metal">
            <a:bevelT w="38100" h="57150" prst="angle"/>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chemeClr val="tx1"/>
                </a:solidFill>
                <a:latin typeface="Amasis MT Pro Black" panose="02040A04050005020304" pitchFamily="18" charset="0"/>
              </a:rPr>
              <a:t>0</a:t>
            </a:r>
          </a:p>
        </xdr:txBody>
      </xdr:sp>
    </xdr:grpSp>
    <xdr:clientData/>
  </xdr:twoCellAnchor>
  <xdr:twoCellAnchor>
    <xdr:from>
      <xdr:col>9</xdr:col>
      <xdr:colOff>368300</xdr:colOff>
      <xdr:row>11</xdr:row>
      <xdr:rowOff>76200</xdr:rowOff>
    </xdr:from>
    <xdr:to>
      <xdr:col>13</xdr:col>
      <xdr:colOff>381000</xdr:colOff>
      <xdr:row>14</xdr:row>
      <xdr:rowOff>114300</xdr:rowOff>
    </xdr:to>
    <xdr:grpSp>
      <xdr:nvGrpSpPr>
        <xdr:cNvPr id="10" name="Grupo 9">
          <a:extLst>
            <a:ext uri="{FF2B5EF4-FFF2-40B4-BE49-F238E27FC236}">
              <a16:creationId xmlns:a16="http://schemas.microsoft.com/office/drawing/2014/main" id="{6FA8B2CF-5449-4A34-A099-006C6011B65E}"/>
            </a:ext>
          </a:extLst>
        </xdr:cNvPr>
        <xdr:cNvGrpSpPr/>
      </xdr:nvGrpSpPr>
      <xdr:grpSpPr>
        <a:xfrm>
          <a:off x="7716157" y="2407557"/>
          <a:ext cx="3278414" cy="582386"/>
          <a:chOff x="7162800" y="2114550"/>
          <a:chExt cx="3060700" cy="590550"/>
        </a:xfrm>
        <a:solidFill>
          <a:schemeClr val="accent4">
            <a:lumMod val="75000"/>
          </a:schemeClr>
        </a:solidFill>
      </xdr:grpSpPr>
      <xdr:sp macro="" textlink="">
        <xdr:nvSpPr>
          <xdr:cNvPr id="11" name="Rectángulo: esquinas redondeadas 10">
            <a:extLst>
              <a:ext uri="{FF2B5EF4-FFF2-40B4-BE49-F238E27FC236}">
                <a16:creationId xmlns:a16="http://schemas.microsoft.com/office/drawing/2014/main" id="{644D9314-4685-D017-6BE9-6A78A7431EFF}"/>
              </a:ext>
            </a:extLst>
          </xdr:cNvPr>
          <xdr:cNvSpPr/>
        </xdr:nvSpPr>
        <xdr:spPr>
          <a:xfrm>
            <a:off x="7162800" y="2120900"/>
            <a:ext cx="1835150" cy="584200"/>
          </a:xfrm>
          <a:prstGeom prst="roundRect">
            <a:avLst/>
          </a:prstGeom>
          <a:grpFill/>
          <a:ln>
            <a:solidFill>
              <a:schemeClr val="tx1"/>
            </a:solidFill>
          </a:ln>
          <a:effectLst>
            <a:outerShdw blurRad="57785" dist="33020" dir="3180000" algn="ctr">
              <a:srgbClr val="000000">
                <a:alpha val="30000"/>
              </a:srgbClr>
            </a:outerShdw>
          </a:effectLst>
          <a:scene3d>
            <a:camera prst="orthographicFront">
              <a:rot lat="0" lon="0" rev="0"/>
            </a:camera>
            <a:lightRig rig="brightRoom" dir="t">
              <a:rot lat="0" lon="0" rev="600000"/>
            </a:lightRig>
          </a:scene3d>
          <a:sp3d prstMaterial="metal">
            <a:bevelT w="38100" h="57150" prst="angle"/>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rgbClr val="FFC000"/>
                </a:solidFill>
                <a:latin typeface="Amasis MT Pro Black" panose="02040A04050005020304" pitchFamily="18" charset="0"/>
              </a:rPr>
              <a:t>Riesgos Gestión</a:t>
            </a:r>
          </a:p>
        </xdr:txBody>
      </xdr:sp>
      <xdr:sp macro="" textlink="">
        <xdr:nvSpPr>
          <xdr:cNvPr id="12" name="Rectángulo: esquinas redondeadas 11">
            <a:extLst>
              <a:ext uri="{FF2B5EF4-FFF2-40B4-BE49-F238E27FC236}">
                <a16:creationId xmlns:a16="http://schemas.microsoft.com/office/drawing/2014/main" id="{EFCAF981-4236-EB8E-5C69-2EA8C7117073}"/>
              </a:ext>
            </a:extLst>
          </xdr:cNvPr>
          <xdr:cNvSpPr/>
        </xdr:nvSpPr>
        <xdr:spPr>
          <a:xfrm>
            <a:off x="9156700" y="2114550"/>
            <a:ext cx="1066800" cy="584200"/>
          </a:xfrm>
          <a:prstGeom prst="roundRect">
            <a:avLst/>
          </a:prstGeom>
          <a:solidFill>
            <a:schemeClr val="bg1">
              <a:lumMod val="85000"/>
            </a:schemeClr>
          </a:solidFill>
          <a:ln>
            <a:solidFill>
              <a:schemeClr val="tx1"/>
            </a:solidFill>
          </a:ln>
          <a:effectLst>
            <a:outerShdw blurRad="57785" dist="33020" dir="3180000" algn="ctr">
              <a:srgbClr val="000000">
                <a:alpha val="30000"/>
              </a:srgbClr>
            </a:outerShdw>
          </a:effectLst>
          <a:scene3d>
            <a:camera prst="orthographicFront">
              <a:rot lat="0" lon="0" rev="0"/>
            </a:camera>
            <a:lightRig rig="brightRoom" dir="t">
              <a:rot lat="0" lon="0" rev="600000"/>
            </a:lightRig>
          </a:scene3d>
          <a:sp3d prstMaterial="metal">
            <a:bevelT w="38100" h="57150" prst="angle"/>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chemeClr val="tx1"/>
                </a:solidFill>
                <a:latin typeface="Aptos Black" panose="020B0004020202020204" pitchFamily="34" charset="0"/>
              </a:rPr>
              <a:t>15</a:t>
            </a:r>
          </a:p>
        </xdr:txBody>
      </xdr:sp>
    </xdr:grpSp>
    <xdr:clientData/>
  </xdr:twoCellAnchor>
  <xdr:twoCellAnchor>
    <xdr:from>
      <xdr:col>9</xdr:col>
      <xdr:colOff>393700</xdr:colOff>
      <xdr:row>17</xdr:row>
      <xdr:rowOff>57150</xdr:rowOff>
    </xdr:from>
    <xdr:to>
      <xdr:col>13</xdr:col>
      <xdr:colOff>406400</xdr:colOff>
      <xdr:row>20</xdr:row>
      <xdr:rowOff>95250</xdr:rowOff>
    </xdr:to>
    <xdr:grpSp>
      <xdr:nvGrpSpPr>
        <xdr:cNvPr id="13" name="Grupo 12">
          <a:extLst>
            <a:ext uri="{FF2B5EF4-FFF2-40B4-BE49-F238E27FC236}">
              <a16:creationId xmlns:a16="http://schemas.microsoft.com/office/drawing/2014/main" id="{3983FEEA-0617-4CB6-97E2-A7072C7E7963}"/>
            </a:ext>
          </a:extLst>
        </xdr:cNvPr>
        <xdr:cNvGrpSpPr/>
      </xdr:nvGrpSpPr>
      <xdr:grpSpPr>
        <a:xfrm>
          <a:off x="7741557" y="3486150"/>
          <a:ext cx="3278414" cy="582386"/>
          <a:chOff x="7162800" y="2114550"/>
          <a:chExt cx="3060700" cy="590550"/>
        </a:xfrm>
        <a:solidFill>
          <a:schemeClr val="accent4">
            <a:lumMod val="75000"/>
          </a:schemeClr>
        </a:solidFill>
      </xdr:grpSpPr>
      <xdr:sp macro="" textlink="">
        <xdr:nvSpPr>
          <xdr:cNvPr id="14" name="Rectángulo: esquinas redondeadas 13">
            <a:extLst>
              <a:ext uri="{FF2B5EF4-FFF2-40B4-BE49-F238E27FC236}">
                <a16:creationId xmlns:a16="http://schemas.microsoft.com/office/drawing/2014/main" id="{0DAD93C6-BB80-051B-F40F-DC603AAB0EAE}"/>
              </a:ext>
            </a:extLst>
          </xdr:cNvPr>
          <xdr:cNvSpPr/>
        </xdr:nvSpPr>
        <xdr:spPr>
          <a:xfrm>
            <a:off x="7162800" y="2120900"/>
            <a:ext cx="1835150" cy="584200"/>
          </a:xfrm>
          <a:prstGeom prst="roundRect">
            <a:avLst/>
          </a:prstGeom>
          <a:grpFill/>
          <a:ln>
            <a:solidFill>
              <a:schemeClr val="tx1"/>
            </a:solidFill>
          </a:ln>
          <a:effectLst>
            <a:outerShdw blurRad="57785" dist="33020" dir="3180000" algn="ctr">
              <a:srgbClr val="000000">
                <a:alpha val="30000"/>
              </a:srgbClr>
            </a:outerShdw>
          </a:effectLst>
          <a:scene3d>
            <a:camera prst="orthographicFront">
              <a:rot lat="0" lon="0" rev="0"/>
            </a:camera>
            <a:lightRig rig="brightRoom" dir="t">
              <a:rot lat="0" lon="0" rev="600000"/>
            </a:lightRig>
          </a:scene3d>
          <a:sp3d prstMaterial="metal">
            <a:bevelT w="38100" h="57150" prst="angle"/>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rgbClr val="FFC000"/>
                </a:solidFill>
                <a:latin typeface="Amasis MT Pro Black" panose="02040A04050005020304" pitchFamily="18" charset="0"/>
              </a:rPr>
              <a:t>Riesgos Gestión</a:t>
            </a:r>
          </a:p>
        </xdr:txBody>
      </xdr:sp>
      <xdr:sp macro="" textlink="">
        <xdr:nvSpPr>
          <xdr:cNvPr id="15" name="Rectángulo: esquinas redondeadas 14">
            <a:extLst>
              <a:ext uri="{FF2B5EF4-FFF2-40B4-BE49-F238E27FC236}">
                <a16:creationId xmlns:a16="http://schemas.microsoft.com/office/drawing/2014/main" id="{7D9F3594-AC91-A13D-6648-F7B8E7FF5FD7}"/>
              </a:ext>
            </a:extLst>
          </xdr:cNvPr>
          <xdr:cNvSpPr/>
        </xdr:nvSpPr>
        <xdr:spPr>
          <a:xfrm>
            <a:off x="9156700" y="2114550"/>
            <a:ext cx="1066800" cy="584200"/>
          </a:xfrm>
          <a:prstGeom prst="roundRect">
            <a:avLst/>
          </a:prstGeom>
          <a:solidFill>
            <a:schemeClr val="bg1">
              <a:lumMod val="85000"/>
            </a:schemeClr>
          </a:solidFill>
          <a:ln>
            <a:solidFill>
              <a:schemeClr val="tx1"/>
            </a:solidFill>
          </a:ln>
          <a:effectLst>
            <a:outerShdw blurRad="57785" dist="33020" dir="3180000" algn="ctr">
              <a:srgbClr val="000000">
                <a:alpha val="30000"/>
              </a:srgbClr>
            </a:outerShdw>
          </a:effectLst>
          <a:scene3d>
            <a:camera prst="orthographicFront">
              <a:rot lat="0" lon="0" rev="0"/>
            </a:camera>
            <a:lightRig rig="brightRoom" dir="t">
              <a:rot lat="0" lon="0" rev="600000"/>
            </a:lightRig>
          </a:scene3d>
          <a:sp3d prstMaterial="metal">
            <a:bevelT w="38100" h="57150" prst="angle"/>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chemeClr val="tx1"/>
                </a:solidFill>
                <a:latin typeface="Aptos Black" panose="020B0004020202020204" pitchFamily="34" charset="0"/>
              </a:rPr>
              <a:t>16</a:t>
            </a:r>
          </a:p>
        </xdr:txBody>
      </xdr:sp>
    </xdr:grpSp>
    <xdr:clientData/>
  </xdr:twoCellAnchor>
  <xdr:twoCellAnchor>
    <xdr:from>
      <xdr:col>14</xdr:col>
      <xdr:colOff>393700</xdr:colOff>
      <xdr:row>17</xdr:row>
      <xdr:rowOff>50800</xdr:rowOff>
    </xdr:from>
    <xdr:to>
      <xdr:col>18</xdr:col>
      <xdr:colOff>406400</xdr:colOff>
      <xdr:row>20</xdr:row>
      <xdr:rowOff>88900</xdr:rowOff>
    </xdr:to>
    <xdr:grpSp>
      <xdr:nvGrpSpPr>
        <xdr:cNvPr id="16" name="Grupo 15">
          <a:extLst>
            <a:ext uri="{FF2B5EF4-FFF2-40B4-BE49-F238E27FC236}">
              <a16:creationId xmlns:a16="http://schemas.microsoft.com/office/drawing/2014/main" id="{2C86E926-6A6E-4ED7-B691-5559EF97C8C3}"/>
            </a:ext>
          </a:extLst>
        </xdr:cNvPr>
        <xdr:cNvGrpSpPr/>
      </xdr:nvGrpSpPr>
      <xdr:grpSpPr>
        <a:xfrm>
          <a:off x="11823700" y="3479800"/>
          <a:ext cx="3278414" cy="582386"/>
          <a:chOff x="7162800" y="2114550"/>
          <a:chExt cx="3060700" cy="590550"/>
        </a:xfrm>
        <a:solidFill>
          <a:schemeClr val="accent4">
            <a:lumMod val="75000"/>
          </a:schemeClr>
        </a:solidFill>
      </xdr:grpSpPr>
      <xdr:sp macro="" textlink="">
        <xdr:nvSpPr>
          <xdr:cNvPr id="17" name="Rectángulo: esquinas redondeadas 16">
            <a:extLst>
              <a:ext uri="{FF2B5EF4-FFF2-40B4-BE49-F238E27FC236}">
                <a16:creationId xmlns:a16="http://schemas.microsoft.com/office/drawing/2014/main" id="{E99E6DBF-3EEC-BDFC-F73C-8B0988AE6BD2}"/>
              </a:ext>
            </a:extLst>
          </xdr:cNvPr>
          <xdr:cNvSpPr/>
        </xdr:nvSpPr>
        <xdr:spPr>
          <a:xfrm>
            <a:off x="7162800" y="2120900"/>
            <a:ext cx="1835150" cy="584200"/>
          </a:xfrm>
          <a:prstGeom prst="roundRect">
            <a:avLst/>
          </a:prstGeom>
          <a:grpFill/>
          <a:ln>
            <a:solidFill>
              <a:schemeClr val="tx1"/>
            </a:solidFill>
          </a:ln>
          <a:effectLst>
            <a:outerShdw blurRad="57785" dist="33020" dir="3180000" algn="ctr">
              <a:srgbClr val="000000">
                <a:alpha val="30000"/>
              </a:srgbClr>
            </a:outerShdw>
          </a:effectLst>
          <a:scene3d>
            <a:camera prst="orthographicFront">
              <a:rot lat="0" lon="0" rev="0"/>
            </a:camera>
            <a:lightRig rig="brightRoom" dir="t">
              <a:rot lat="0" lon="0" rev="600000"/>
            </a:lightRig>
          </a:scene3d>
          <a:sp3d prstMaterial="metal">
            <a:bevelT w="38100" h="57150" prst="angle"/>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rgbClr val="FFC000"/>
                </a:solidFill>
                <a:latin typeface="Amasis MT Pro Black" panose="02040A04050005020304" pitchFamily="18" charset="0"/>
              </a:rPr>
              <a:t>Riesgos</a:t>
            </a:r>
            <a:r>
              <a:rPr lang="es-CO" sz="1400" b="1">
                <a:solidFill>
                  <a:schemeClr val="bg1"/>
                </a:solidFill>
                <a:latin typeface="Amasis MT Pro Black" panose="02040A04050005020304" pitchFamily="18" charset="0"/>
              </a:rPr>
              <a:t> </a:t>
            </a:r>
            <a:r>
              <a:rPr lang="es-CO" sz="1400" b="1">
                <a:solidFill>
                  <a:srgbClr val="FFC000"/>
                </a:solidFill>
                <a:latin typeface="Amasis MT Pro Black" panose="02040A04050005020304" pitchFamily="18" charset="0"/>
              </a:rPr>
              <a:t>Fiscales</a:t>
            </a:r>
          </a:p>
        </xdr:txBody>
      </xdr:sp>
      <xdr:sp macro="" textlink="">
        <xdr:nvSpPr>
          <xdr:cNvPr id="18" name="Rectángulo: esquinas redondeadas 17">
            <a:extLst>
              <a:ext uri="{FF2B5EF4-FFF2-40B4-BE49-F238E27FC236}">
                <a16:creationId xmlns:a16="http://schemas.microsoft.com/office/drawing/2014/main" id="{7AC3DF18-67FD-4016-F917-5847BA7622C8}"/>
              </a:ext>
            </a:extLst>
          </xdr:cNvPr>
          <xdr:cNvSpPr/>
        </xdr:nvSpPr>
        <xdr:spPr>
          <a:xfrm>
            <a:off x="9156700" y="2114550"/>
            <a:ext cx="1066800" cy="584200"/>
          </a:xfrm>
          <a:prstGeom prst="roundRect">
            <a:avLst/>
          </a:prstGeom>
          <a:solidFill>
            <a:schemeClr val="bg1">
              <a:lumMod val="85000"/>
            </a:schemeClr>
          </a:solidFill>
          <a:ln>
            <a:solidFill>
              <a:schemeClr val="tx1"/>
            </a:solidFill>
          </a:ln>
          <a:effectLst>
            <a:outerShdw blurRad="57785" dist="33020" dir="3180000" algn="ctr">
              <a:srgbClr val="000000">
                <a:alpha val="30000"/>
              </a:srgbClr>
            </a:outerShdw>
          </a:effectLst>
          <a:scene3d>
            <a:camera prst="orthographicFront">
              <a:rot lat="0" lon="0" rev="0"/>
            </a:camera>
            <a:lightRig rig="brightRoom" dir="t">
              <a:rot lat="0" lon="0" rev="600000"/>
            </a:lightRig>
          </a:scene3d>
          <a:sp3d prstMaterial="metal">
            <a:bevelT w="38100" h="57150" prst="angle"/>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chemeClr val="tx1"/>
                </a:solidFill>
                <a:latin typeface="Amasis MT Pro Black" panose="02040A04050005020304" pitchFamily="18" charset="0"/>
              </a:rPr>
              <a:t>8</a:t>
            </a:r>
          </a:p>
        </xdr:txBody>
      </xdr:sp>
    </xdr:grpSp>
    <xdr:clientData/>
  </xdr:twoCellAnchor>
  <xdr:twoCellAnchor>
    <xdr:from>
      <xdr:col>9</xdr:col>
      <xdr:colOff>419100</xdr:colOff>
      <xdr:row>23</xdr:row>
      <xdr:rowOff>133351</xdr:rowOff>
    </xdr:from>
    <xdr:to>
      <xdr:col>13</xdr:col>
      <xdr:colOff>431800</xdr:colOff>
      <xdr:row>26</xdr:row>
      <xdr:rowOff>171450</xdr:rowOff>
    </xdr:to>
    <xdr:grpSp>
      <xdr:nvGrpSpPr>
        <xdr:cNvPr id="19" name="Grupo 18">
          <a:extLst>
            <a:ext uri="{FF2B5EF4-FFF2-40B4-BE49-F238E27FC236}">
              <a16:creationId xmlns:a16="http://schemas.microsoft.com/office/drawing/2014/main" id="{233B837E-51B0-410D-B257-672E01FC28E1}"/>
            </a:ext>
          </a:extLst>
        </xdr:cNvPr>
        <xdr:cNvGrpSpPr/>
      </xdr:nvGrpSpPr>
      <xdr:grpSpPr>
        <a:xfrm>
          <a:off x="7766957" y="4659994"/>
          <a:ext cx="3278414" cy="582385"/>
          <a:chOff x="7162800" y="2114551"/>
          <a:chExt cx="3060700" cy="590549"/>
        </a:xfrm>
        <a:solidFill>
          <a:schemeClr val="accent4">
            <a:lumMod val="75000"/>
          </a:schemeClr>
        </a:solidFill>
      </xdr:grpSpPr>
      <xdr:sp macro="" textlink="">
        <xdr:nvSpPr>
          <xdr:cNvPr id="20" name="Rectángulo: esquinas redondeadas 19">
            <a:extLst>
              <a:ext uri="{FF2B5EF4-FFF2-40B4-BE49-F238E27FC236}">
                <a16:creationId xmlns:a16="http://schemas.microsoft.com/office/drawing/2014/main" id="{81DC2E57-6BC7-5A59-AFDD-112FDB1B1F07}"/>
              </a:ext>
            </a:extLst>
          </xdr:cNvPr>
          <xdr:cNvSpPr/>
        </xdr:nvSpPr>
        <xdr:spPr>
          <a:xfrm>
            <a:off x="7162800" y="2120900"/>
            <a:ext cx="1835150" cy="584200"/>
          </a:xfrm>
          <a:prstGeom prst="roundRect">
            <a:avLst/>
          </a:prstGeom>
          <a:grpFill/>
          <a:ln>
            <a:solidFill>
              <a:schemeClr val="tx1"/>
            </a:solidFill>
          </a:ln>
          <a:effectLst>
            <a:outerShdw blurRad="57785" dist="33020" dir="3180000" algn="ctr">
              <a:srgbClr val="000000">
                <a:alpha val="30000"/>
              </a:srgbClr>
            </a:outerShdw>
          </a:effectLst>
          <a:scene3d>
            <a:camera prst="orthographicFront">
              <a:rot lat="0" lon="0" rev="0"/>
            </a:camera>
            <a:lightRig rig="brightRoom" dir="t">
              <a:rot lat="0" lon="0" rev="600000"/>
            </a:lightRig>
          </a:scene3d>
          <a:sp3d prstMaterial="metal">
            <a:bevelT w="38100" h="57150" prst="angle"/>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rgbClr val="FFC000"/>
                </a:solidFill>
                <a:latin typeface="Amasis MT Pro Black" panose="02040A04050005020304" pitchFamily="18" charset="0"/>
              </a:rPr>
              <a:t>Riesgos Gestión</a:t>
            </a:r>
          </a:p>
        </xdr:txBody>
      </xdr:sp>
      <xdr:sp macro="" textlink="">
        <xdr:nvSpPr>
          <xdr:cNvPr id="21" name="Rectángulo: esquinas redondeadas 20">
            <a:extLst>
              <a:ext uri="{FF2B5EF4-FFF2-40B4-BE49-F238E27FC236}">
                <a16:creationId xmlns:a16="http://schemas.microsoft.com/office/drawing/2014/main" id="{4F11B367-013E-C7FF-B237-546D4D817F61}"/>
              </a:ext>
            </a:extLst>
          </xdr:cNvPr>
          <xdr:cNvSpPr/>
        </xdr:nvSpPr>
        <xdr:spPr>
          <a:xfrm>
            <a:off x="9156700" y="2114551"/>
            <a:ext cx="1066800" cy="584201"/>
          </a:xfrm>
          <a:prstGeom prst="roundRect">
            <a:avLst/>
          </a:prstGeom>
          <a:solidFill>
            <a:schemeClr val="bg1">
              <a:lumMod val="85000"/>
            </a:schemeClr>
          </a:solidFill>
          <a:ln>
            <a:solidFill>
              <a:schemeClr val="tx1"/>
            </a:solidFill>
          </a:ln>
          <a:effectLst>
            <a:outerShdw blurRad="57785" dist="33020" dir="3180000" algn="ctr">
              <a:srgbClr val="000000">
                <a:alpha val="30000"/>
              </a:srgbClr>
            </a:outerShdw>
          </a:effectLst>
          <a:scene3d>
            <a:camera prst="orthographicFront">
              <a:rot lat="0" lon="0" rev="0"/>
            </a:camera>
            <a:lightRig rig="brightRoom" dir="t">
              <a:rot lat="0" lon="0" rev="600000"/>
            </a:lightRig>
          </a:scene3d>
          <a:sp3d prstMaterial="metal">
            <a:bevelT w="38100" h="57150" prst="angle"/>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chemeClr val="tx1"/>
                </a:solidFill>
                <a:latin typeface="Aptos Black" panose="020B0004020202020204" pitchFamily="34" charset="0"/>
              </a:rPr>
              <a:t>6</a:t>
            </a:r>
          </a:p>
        </xdr:txBody>
      </xdr:sp>
    </xdr:grpSp>
    <xdr:clientData/>
  </xdr:twoCellAnchor>
  <xdr:twoCellAnchor>
    <xdr:from>
      <xdr:col>14</xdr:col>
      <xdr:colOff>444500</xdr:colOff>
      <xdr:row>23</xdr:row>
      <xdr:rowOff>107949</xdr:rowOff>
    </xdr:from>
    <xdr:to>
      <xdr:col>18</xdr:col>
      <xdr:colOff>457200</xdr:colOff>
      <xdr:row>26</xdr:row>
      <xdr:rowOff>146050</xdr:rowOff>
    </xdr:to>
    <xdr:grpSp>
      <xdr:nvGrpSpPr>
        <xdr:cNvPr id="22" name="Grupo 21">
          <a:extLst>
            <a:ext uri="{FF2B5EF4-FFF2-40B4-BE49-F238E27FC236}">
              <a16:creationId xmlns:a16="http://schemas.microsoft.com/office/drawing/2014/main" id="{169023E1-511B-46DA-A837-C3298084675D}"/>
            </a:ext>
          </a:extLst>
        </xdr:cNvPr>
        <xdr:cNvGrpSpPr/>
      </xdr:nvGrpSpPr>
      <xdr:grpSpPr>
        <a:xfrm>
          <a:off x="11874500" y="4634592"/>
          <a:ext cx="3278414" cy="582387"/>
          <a:chOff x="7162800" y="2114549"/>
          <a:chExt cx="3060700" cy="590551"/>
        </a:xfrm>
        <a:solidFill>
          <a:schemeClr val="accent4">
            <a:lumMod val="75000"/>
          </a:schemeClr>
        </a:solidFill>
      </xdr:grpSpPr>
      <xdr:sp macro="" textlink="">
        <xdr:nvSpPr>
          <xdr:cNvPr id="23" name="Rectángulo: esquinas redondeadas 22">
            <a:extLst>
              <a:ext uri="{FF2B5EF4-FFF2-40B4-BE49-F238E27FC236}">
                <a16:creationId xmlns:a16="http://schemas.microsoft.com/office/drawing/2014/main" id="{E0B4EA63-222C-BABB-897C-74C08B071B05}"/>
              </a:ext>
            </a:extLst>
          </xdr:cNvPr>
          <xdr:cNvSpPr/>
        </xdr:nvSpPr>
        <xdr:spPr>
          <a:xfrm>
            <a:off x="7162800" y="2120900"/>
            <a:ext cx="1835150" cy="584200"/>
          </a:xfrm>
          <a:prstGeom prst="roundRect">
            <a:avLst/>
          </a:prstGeom>
          <a:grpFill/>
          <a:ln>
            <a:solidFill>
              <a:schemeClr val="tx1"/>
            </a:solidFill>
          </a:ln>
          <a:effectLst>
            <a:outerShdw blurRad="57785" dist="33020" dir="3180000" algn="ctr">
              <a:srgbClr val="000000">
                <a:alpha val="30000"/>
              </a:srgbClr>
            </a:outerShdw>
          </a:effectLst>
          <a:scene3d>
            <a:camera prst="orthographicFront">
              <a:rot lat="0" lon="0" rev="0"/>
            </a:camera>
            <a:lightRig rig="brightRoom" dir="t">
              <a:rot lat="0" lon="0" rev="600000"/>
            </a:lightRig>
          </a:scene3d>
          <a:sp3d prstMaterial="metal">
            <a:bevelT w="38100" h="57150" prst="angle"/>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rgbClr val="FFC000"/>
                </a:solidFill>
                <a:latin typeface="Amasis MT Pro Black" panose="02040A04050005020304" pitchFamily="18" charset="0"/>
              </a:rPr>
              <a:t>Riesgos</a:t>
            </a:r>
            <a:r>
              <a:rPr lang="es-CO" sz="1400" b="1">
                <a:solidFill>
                  <a:schemeClr val="bg1"/>
                </a:solidFill>
                <a:latin typeface="Amasis MT Pro Black" panose="02040A04050005020304" pitchFamily="18" charset="0"/>
              </a:rPr>
              <a:t> </a:t>
            </a:r>
            <a:r>
              <a:rPr lang="es-CO" sz="1400" b="1">
                <a:solidFill>
                  <a:srgbClr val="FFC000"/>
                </a:solidFill>
                <a:latin typeface="Amasis MT Pro Black" panose="02040A04050005020304" pitchFamily="18" charset="0"/>
              </a:rPr>
              <a:t>Fiscales</a:t>
            </a:r>
          </a:p>
        </xdr:txBody>
      </xdr:sp>
      <xdr:sp macro="" textlink="">
        <xdr:nvSpPr>
          <xdr:cNvPr id="24" name="Rectángulo: esquinas redondeadas 23">
            <a:extLst>
              <a:ext uri="{FF2B5EF4-FFF2-40B4-BE49-F238E27FC236}">
                <a16:creationId xmlns:a16="http://schemas.microsoft.com/office/drawing/2014/main" id="{CB2EE54A-4C10-260C-610A-0B90F29EAE75}"/>
              </a:ext>
            </a:extLst>
          </xdr:cNvPr>
          <xdr:cNvSpPr/>
        </xdr:nvSpPr>
        <xdr:spPr>
          <a:xfrm>
            <a:off x="9156700" y="2114549"/>
            <a:ext cx="1066800" cy="584200"/>
          </a:xfrm>
          <a:prstGeom prst="roundRect">
            <a:avLst/>
          </a:prstGeom>
          <a:solidFill>
            <a:schemeClr val="bg1">
              <a:lumMod val="85000"/>
            </a:schemeClr>
          </a:solidFill>
          <a:ln>
            <a:solidFill>
              <a:schemeClr val="tx1"/>
            </a:solidFill>
          </a:ln>
          <a:effectLst>
            <a:outerShdw blurRad="57785" dist="33020" dir="3180000" algn="ctr">
              <a:srgbClr val="000000">
                <a:alpha val="30000"/>
              </a:srgbClr>
            </a:outerShdw>
          </a:effectLst>
          <a:scene3d>
            <a:camera prst="orthographicFront">
              <a:rot lat="0" lon="0" rev="0"/>
            </a:camera>
            <a:lightRig rig="brightRoom" dir="t">
              <a:rot lat="0" lon="0" rev="600000"/>
            </a:lightRig>
          </a:scene3d>
          <a:sp3d prstMaterial="metal">
            <a:bevelT w="38100" h="57150" prst="angle"/>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chemeClr val="tx1"/>
                </a:solidFill>
                <a:latin typeface="Amasis MT Pro Black" panose="02040A04050005020304" pitchFamily="18" charset="0"/>
              </a:rPr>
              <a:t>2</a:t>
            </a:r>
          </a:p>
        </xdr:txBody>
      </xdr:sp>
    </xdr:grpSp>
    <xdr:clientData/>
  </xdr:twoCellAnchor>
  <xdr:twoCellAnchor>
    <xdr:from>
      <xdr:col>9</xdr:col>
      <xdr:colOff>463550</xdr:colOff>
      <xdr:row>30</xdr:row>
      <xdr:rowOff>165100</xdr:rowOff>
    </xdr:from>
    <xdr:to>
      <xdr:col>13</xdr:col>
      <xdr:colOff>476250</xdr:colOff>
      <xdr:row>34</xdr:row>
      <xdr:rowOff>19050</xdr:rowOff>
    </xdr:to>
    <xdr:grpSp>
      <xdr:nvGrpSpPr>
        <xdr:cNvPr id="32" name="Grupo 31">
          <a:extLst>
            <a:ext uri="{FF2B5EF4-FFF2-40B4-BE49-F238E27FC236}">
              <a16:creationId xmlns:a16="http://schemas.microsoft.com/office/drawing/2014/main" id="{7E7701BE-3D0F-4B89-950D-8C9C5DA2B3A6}"/>
            </a:ext>
          </a:extLst>
        </xdr:cNvPr>
        <xdr:cNvGrpSpPr/>
      </xdr:nvGrpSpPr>
      <xdr:grpSpPr>
        <a:xfrm>
          <a:off x="7811407" y="5970814"/>
          <a:ext cx="3278414" cy="579665"/>
          <a:chOff x="7162800" y="2114550"/>
          <a:chExt cx="3060700" cy="590550"/>
        </a:xfrm>
        <a:solidFill>
          <a:schemeClr val="accent4">
            <a:lumMod val="75000"/>
          </a:schemeClr>
        </a:solidFill>
      </xdr:grpSpPr>
      <xdr:sp macro="" textlink="">
        <xdr:nvSpPr>
          <xdr:cNvPr id="33" name="Rectángulo: esquinas redondeadas 32">
            <a:extLst>
              <a:ext uri="{FF2B5EF4-FFF2-40B4-BE49-F238E27FC236}">
                <a16:creationId xmlns:a16="http://schemas.microsoft.com/office/drawing/2014/main" id="{E5FCD463-765D-E7DE-83DA-C8322A00D990}"/>
              </a:ext>
            </a:extLst>
          </xdr:cNvPr>
          <xdr:cNvSpPr/>
        </xdr:nvSpPr>
        <xdr:spPr>
          <a:xfrm>
            <a:off x="7162800" y="2120900"/>
            <a:ext cx="1835150" cy="584200"/>
          </a:xfrm>
          <a:prstGeom prst="roundRect">
            <a:avLst/>
          </a:prstGeom>
          <a:grpFill/>
          <a:ln>
            <a:solidFill>
              <a:schemeClr val="tx1"/>
            </a:solidFill>
          </a:ln>
          <a:effectLst>
            <a:outerShdw blurRad="57785" dist="33020" dir="3180000" algn="ctr">
              <a:srgbClr val="000000">
                <a:alpha val="30000"/>
              </a:srgbClr>
            </a:outerShdw>
          </a:effectLst>
          <a:scene3d>
            <a:camera prst="orthographicFront">
              <a:rot lat="0" lon="0" rev="0"/>
            </a:camera>
            <a:lightRig rig="brightRoom" dir="t">
              <a:rot lat="0" lon="0" rev="600000"/>
            </a:lightRig>
          </a:scene3d>
          <a:sp3d prstMaterial="metal">
            <a:bevelT w="38100" h="57150" prst="angle"/>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rgbClr val="FFC000"/>
                </a:solidFill>
                <a:latin typeface="Amasis MT Pro Black" panose="02040A04050005020304" pitchFamily="18" charset="0"/>
              </a:rPr>
              <a:t>Riesgos Gestión</a:t>
            </a:r>
          </a:p>
        </xdr:txBody>
      </xdr:sp>
      <xdr:sp macro="" textlink="">
        <xdr:nvSpPr>
          <xdr:cNvPr id="34" name="Rectángulo: esquinas redondeadas 33">
            <a:extLst>
              <a:ext uri="{FF2B5EF4-FFF2-40B4-BE49-F238E27FC236}">
                <a16:creationId xmlns:a16="http://schemas.microsoft.com/office/drawing/2014/main" id="{3D02130E-F7A5-9BC3-B5F5-02616C3385EF}"/>
              </a:ext>
            </a:extLst>
          </xdr:cNvPr>
          <xdr:cNvSpPr/>
        </xdr:nvSpPr>
        <xdr:spPr>
          <a:xfrm>
            <a:off x="9156700" y="2114550"/>
            <a:ext cx="1066800" cy="584200"/>
          </a:xfrm>
          <a:prstGeom prst="roundRect">
            <a:avLst/>
          </a:prstGeom>
          <a:solidFill>
            <a:schemeClr val="bg1">
              <a:lumMod val="85000"/>
            </a:schemeClr>
          </a:solidFill>
          <a:ln>
            <a:solidFill>
              <a:schemeClr val="tx1"/>
            </a:solidFill>
          </a:ln>
          <a:effectLst>
            <a:outerShdw blurRad="57785" dist="33020" dir="3180000" algn="ctr">
              <a:srgbClr val="000000">
                <a:alpha val="30000"/>
              </a:srgbClr>
            </a:outerShdw>
          </a:effectLst>
          <a:scene3d>
            <a:camera prst="orthographicFront">
              <a:rot lat="0" lon="0" rev="0"/>
            </a:camera>
            <a:lightRig rig="brightRoom" dir="t">
              <a:rot lat="0" lon="0" rev="600000"/>
            </a:lightRig>
          </a:scene3d>
          <a:sp3d prstMaterial="metal">
            <a:bevelT w="38100" h="57150" prst="angle"/>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chemeClr val="tx1"/>
                </a:solidFill>
                <a:latin typeface="Amasis MT Pro Black" panose="02040A04050005020304" pitchFamily="18" charset="0"/>
              </a:rPr>
              <a:t>4</a:t>
            </a:r>
          </a:p>
        </xdr:txBody>
      </xdr:sp>
    </xdr:grpSp>
    <xdr:clientData/>
  </xdr:twoCellAnchor>
  <xdr:twoCellAnchor>
    <xdr:from>
      <xdr:col>14</xdr:col>
      <xdr:colOff>428064</xdr:colOff>
      <xdr:row>30</xdr:row>
      <xdr:rowOff>141941</xdr:rowOff>
    </xdr:from>
    <xdr:to>
      <xdr:col>18</xdr:col>
      <xdr:colOff>440764</xdr:colOff>
      <xdr:row>33</xdr:row>
      <xdr:rowOff>180041</xdr:rowOff>
    </xdr:to>
    <xdr:grpSp>
      <xdr:nvGrpSpPr>
        <xdr:cNvPr id="35" name="Grupo 34">
          <a:extLst>
            <a:ext uri="{FF2B5EF4-FFF2-40B4-BE49-F238E27FC236}">
              <a16:creationId xmlns:a16="http://schemas.microsoft.com/office/drawing/2014/main" id="{3ADDDF36-0166-4E9E-A7C5-D3ABF17BD752}"/>
            </a:ext>
          </a:extLst>
        </xdr:cNvPr>
        <xdr:cNvGrpSpPr/>
      </xdr:nvGrpSpPr>
      <xdr:grpSpPr>
        <a:xfrm>
          <a:off x="11858064" y="5947655"/>
          <a:ext cx="3278414" cy="582386"/>
          <a:chOff x="7162800" y="2114550"/>
          <a:chExt cx="3060700" cy="590550"/>
        </a:xfrm>
        <a:solidFill>
          <a:schemeClr val="accent4">
            <a:lumMod val="75000"/>
          </a:schemeClr>
        </a:solidFill>
      </xdr:grpSpPr>
      <xdr:sp macro="" textlink="">
        <xdr:nvSpPr>
          <xdr:cNvPr id="36" name="Rectángulo: esquinas redondeadas 35">
            <a:extLst>
              <a:ext uri="{FF2B5EF4-FFF2-40B4-BE49-F238E27FC236}">
                <a16:creationId xmlns:a16="http://schemas.microsoft.com/office/drawing/2014/main" id="{33F901A5-D1FA-0EDC-D002-095B769AC965}"/>
              </a:ext>
            </a:extLst>
          </xdr:cNvPr>
          <xdr:cNvSpPr/>
        </xdr:nvSpPr>
        <xdr:spPr>
          <a:xfrm>
            <a:off x="7162800" y="2120900"/>
            <a:ext cx="1835150" cy="584200"/>
          </a:xfrm>
          <a:prstGeom prst="roundRect">
            <a:avLst/>
          </a:prstGeom>
          <a:grpFill/>
          <a:ln>
            <a:solidFill>
              <a:schemeClr val="tx1"/>
            </a:solidFill>
          </a:ln>
          <a:effectLst>
            <a:outerShdw blurRad="57785" dist="33020" dir="3180000" algn="ctr">
              <a:srgbClr val="000000">
                <a:alpha val="30000"/>
              </a:srgbClr>
            </a:outerShdw>
          </a:effectLst>
          <a:scene3d>
            <a:camera prst="orthographicFront">
              <a:rot lat="0" lon="0" rev="0"/>
            </a:camera>
            <a:lightRig rig="brightRoom" dir="t">
              <a:rot lat="0" lon="0" rev="600000"/>
            </a:lightRig>
          </a:scene3d>
          <a:sp3d prstMaterial="metal">
            <a:bevelT w="38100" h="57150" prst="angle"/>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rgbClr val="FFC000"/>
                </a:solidFill>
                <a:latin typeface="Amasis MT Pro Black" panose="02040A04050005020304" pitchFamily="18" charset="0"/>
              </a:rPr>
              <a:t>Riesgos</a:t>
            </a:r>
            <a:r>
              <a:rPr lang="es-CO" sz="1400" b="1">
                <a:solidFill>
                  <a:schemeClr val="bg1"/>
                </a:solidFill>
                <a:latin typeface="Amasis MT Pro Black" panose="02040A04050005020304" pitchFamily="18" charset="0"/>
              </a:rPr>
              <a:t> </a:t>
            </a:r>
            <a:r>
              <a:rPr lang="es-CO" sz="1400" b="1">
                <a:solidFill>
                  <a:srgbClr val="FFC000"/>
                </a:solidFill>
                <a:latin typeface="Amasis MT Pro Black" panose="02040A04050005020304" pitchFamily="18" charset="0"/>
              </a:rPr>
              <a:t>Fiscales</a:t>
            </a:r>
          </a:p>
        </xdr:txBody>
      </xdr:sp>
      <xdr:sp macro="" textlink="">
        <xdr:nvSpPr>
          <xdr:cNvPr id="37" name="Rectángulo: esquinas redondeadas 36">
            <a:extLst>
              <a:ext uri="{FF2B5EF4-FFF2-40B4-BE49-F238E27FC236}">
                <a16:creationId xmlns:a16="http://schemas.microsoft.com/office/drawing/2014/main" id="{03FA4AEF-7046-3A1B-63FC-2ABE4C1F5FA6}"/>
              </a:ext>
            </a:extLst>
          </xdr:cNvPr>
          <xdr:cNvSpPr/>
        </xdr:nvSpPr>
        <xdr:spPr>
          <a:xfrm>
            <a:off x="9156700" y="2114550"/>
            <a:ext cx="1066800" cy="584200"/>
          </a:xfrm>
          <a:prstGeom prst="roundRect">
            <a:avLst/>
          </a:prstGeom>
          <a:solidFill>
            <a:schemeClr val="bg1">
              <a:lumMod val="85000"/>
            </a:schemeClr>
          </a:solidFill>
          <a:ln>
            <a:solidFill>
              <a:schemeClr val="tx1"/>
            </a:solidFill>
          </a:ln>
          <a:effectLst>
            <a:outerShdw blurRad="57785" dist="33020" dir="3180000" algn="ctr">
              <a:srgbClr val="000000">
                <a:alpha val="30000"/>
              </a:srgbClr>
            </a:outerShdw>
          </a:effectLst>
          <a:scene3d>
            <a:camera prst="orthographicFront">
              <a:rot lat="0" lon="0" rev="0"/>
            </a:camera>
            <a:lightRig rig="brightRoom" dir="t">
              <a:rot lat="0" lon="0" rev="600000"/>
            </a:lightRig>
          </a:scene3d>
          <a:sp3d prstMaterial="metal">
            <a:bevelT w="38100" h="57150" prst="angle"/>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chemeClr val="tx1"/>
                </a:solidFill>
                <a:latin typeface="Amasis MT Pro Black" panose="02040A04050005020304" pitchFamily="18" charset="0"/>
              </a:rPr>
              <a:t>0</a:t>
            </a:r>
          </a:p>
        </xdr:txBody>
      </xdr:sp>
    </xdr:grpSp>
    <xdr:clientData/>
  </xdr:twoCellAnchor>
  <xdr:twoCellAnchor editAs="oneCell">
    <xdr:from>
      <xdr:col>12</xdr:col>
      <xdr:colOff>6350</xdr:colOff>
      <xdr:row>9</xdr:row>
      <xdr:rowOff>63500</xdr:rowOff>
    </xdr:from>
    <xdr:to>
      <xdr:col>12</xdr:col>
      <xdr:colOff>228600</xdr:colOff>
      <xdr:row>10</xdr:row>
      <xdr:rowOff>101600</xdr:rowOff>
    </xdr:to>
    <xdr:pic>
      <xdr:nvPicPr>
        <xdr:cNvPr id="39" name="Imagen 38" descr="Logotipo, Icono&#10;&#10;Descripción generada automáticamente">
          <a:extLst>
            <a:ext uri="{FF2B5EF4-FFF2-40B4-BE49-F238E27FC236}">
              <a16:creationId xmlns:a16="http://schemas.microsoft.com/office/drawing/2014/main" id="{3B66B2B6-63B1-73D2-EBD8-A512F23EE0E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flipH="1">
          <a:off x="9150350" y="1739900"/>
          <a:ext cx="222250" cy="222250"/>
        </a:xfrm>
        <a:prstGeom prst="rect">
          <a:avLst/>
        </a:prstGeom>
      </xdr:spPr>
    </xdr:pic>
    <xdr:clientData/>
  </xdr:twoCellAnchor>
  <xdr:twoCellAnchor editAs="oneCell">
    <xdr:from>
      <xdr:col>12</xdr:col>
      <xdr:colOff>742950</xdr:colOff>
      <xdr:row>21</xdr:row>
      <xdr:rowOff>57150</xdr:rowOff>
    </xdr:from>
    <xdr:to>
      <xdr:col>13</xdr:col>
      <xdr:colOff>203200</xdr:colOff>
      <xdr:row>22</xdr:row>
      <xdr:rowOff>95250</xdr:rowOff>
    </xdr:to>
    <xdr:pic>
      <xdr:nvPicPr>
        <xdr:cNvPr id="40" name="Imagen 39" descr="Logotipo, Icono&#10;&#10;Descripción generada automáticamente">
          <a:extLst>
            <a:ext uri="{FF2B5EF4-FFF2-40B4-BE49-F238E27FC236}">
              <a16:creationId xmlns:a16="http://schemas.microsoft.com/office/drawing/2014/main" id="{2A344933-E6DC-4319-928B-5BCC24B560A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flipH="1">
          <a:off x="9886950" y="3968750"/>
          <a:ext cx="222250" cy="222250"/>
        </a:xfrm>
        <a:prstGeom prst="rect">
          <a:avLst/>
        </a:prstGeom>
      </xdr:spPr>
    </xdr:pic>
    <xdr:clientData/>
  </xdr:twoCellAnchor>
  <xdr:twoCellAnchor editAs="oneCell">
    <xdr:from>
      <xdr:col>12</xdr:col>
      <xdr:colOff>510193</xdr:colOff>
      <xdr:row>15</xdr:row>
      <xdr:rowOff>69850</xdr:rowOff>
    </xdr:from>
    <xdr:to>
      <xdr:col>12</xdr:col>
      <xdr:colOff>786871</xdr:colOff>
      <xdr:row>16</xdr:row>
      <xdr:rowOff>107949</xdr:rowOff>
    </xdr:to>
    <xdr:pic>
      <xdr:nvPicPr>
        <xdr:cNvPr id="41" name="Imagen 40" descr="Logotipo, Icono&#10;&#10;Descripción generada automáticamente">
          <a:extLst>
            <a:ext uri="{FF2B5EF4-FFF2-40B4-BE49-F238E27FC236}">
              <a16:creationId xmlns:a16="http://schemas.microsoft.com/office/drawing/2014/main" id="{B5D9A69D-6A3A-448F-8315-1BEE9833C87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flipH="1">
          <a:off x="10307336" y="3126921"/>
          <a:ext cx="276678" cy="219528"/>
        </a:xfrm>
        <a:prstGeom prst="rect">
          <a:avLst/>
        </a:prstGeom>
      </xdr:spPr>
    </xdr:pic>
    <xdr:clientData/>
  </xdr:twoCellAnchor>
  <xdr:twoCellAnchor editAs="oneCell">
    <xdr:from>
      <xdr:col>12</xdr:col>
      <xdr:colOff>525182</xdr:colOff>
      <xdr:row>28</xdr:row>
      <xdr:rowOff>70970</xdr:rowOff>
    </xdr:from>
    <xdr:to>
      <xdr:col>12</xdr:col>
      <xdr:colOff>747432</xdr:colOff>
      <xdr:row>29</xdr:row>
      <xdr:rowOff>109070</xdr:rowOff>
    </xdr:to>
    <xdr:pic>
      <xdr:nvPicPr>
        <xdr:cNvPr id="42" name="Imagen 41" descr="Logotipo, Icono&#10;&#10;Descripción generada automáticamente">
          <a:extLst>
            <a:ext uri="{FF2B5EF4-FFF2-40B4-BE49-F238E27FC236}">
              <a16:creationId xmlns:a16="http://schemas.microsoft.com/office/drawing/2014/main" id="{8B23A0DD-68E6-46B8-8265-D63655009A7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flipH="1">
          <a:off x="9669182" y="5367617"/>
          <a:ext cx="222250" cy="224865"/>
        </a:xfrm>
        <a:prstGeom prst="rect">
          <a:avLst/>
        </a:prstGeom>
      </xdr:spPr>
    </xdr:pic>
    <xdr:clientData/>
  </xdr:twoCellAnchor>
  <xdr:oneCellAnchor>
    <xdr:from>
      <xdr:col>9</xdr:col>
      <xdr:colOff>622300</xdr:colOff>
      <xdr:row>35</xdr:row>
      <xdr:rowOff>81643</xdr:rowOff>
    </xdr:from>
    <xdr:ext cx="222250" cy="222250"/>
    <xdr:pic>
      <xdr:nvPicPr>
        <xdr:cNvPr id="43" name="Imagen 42" descr="Logotipo, Icono&#10;&#10;Descripción generada automáticamente">
          <a:extLst>
            <a:ext uri="{FF2B5EF4-FFF2-40B4-BE49-F238E27FC236}">
              <a16:creationId xmlns:a16="http://schemas.microsoft.com/office/drawing/2014/main" id="{D3C0862B-68FF-4BF1-B284-8014EA31C1E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flipH="1">
          <a:off x="7970157" y="6794500"/>
          <a:ext cx="222250" cy="222250"/>
        </a:xfrm>
        <a:prstGeom prst="rect">
          <a:avLst/>
        </a:prstGeom>
      </xdr:spPr>
    </xdr:pic>
    <xdr:clientData/>
  </xdr:oneCellAnchor>
  <xdr:twoCellAnchor>
    <xdr:from>
      <xdr:col>9</xdr:col>
      <xdr:colOff>463550</xdr:colOff>
      <xdr:row>30</xdr:row>
      <xdr:rowOff>165100</xdr:rowOff>
    </xdr:from>
    <xdr:to>
      <xdr:col>12</xdr:col>
      <xdr:colOff>12700</xdr:colOff>
      <xdr:row>34</xdr:row>
      <xdr:rowOff>12700</xdr:rowOff>
    </xdr:to>
    <xdr:sp macro="" textlink="">
      <xdr:nvSpPr>
        <xdr:cNvPr id="44" name="Rectángulo: esquinas redondeadas 43">
          <a:extLst>
            <a:ext uri="{FF2B5EF4-FFF2-40B4-BE49-F238E27FC236}">
              <a16:creationId xmlns:a16="http://schemas.microsoft.com/office/drawing/2014/main" id="{1D45F99F-C11C-4E3C-95DE-273E56EAC510}"/>
            </a:ext>
          </a:extLst>
        </xdr:cNvPr>
        <xdr:cNvSpPr/>
      </xdr:nvSpPr>
      <xdr:spPr>
        <a:xfrm>
          <a:off x="7321550" y="5753100"/>
          <a:ext cx="1835150" cy="584200"/>
        </a:xfrm>
        <a:prstGeom prst="roundRect">
          <a:avLst/>
        </a:prstGeom>
        <a:solidFill>
          <a:schemeClr val="accent4">
            <a:lumMod val="75000"/>
          </a:schemeClr>
        </a:solidFill>
        <a:ln>
          <a:solidFill>
            <a:schemeClr val="tx1"/>
          </a:solidFill>
        </a:ln>
        <a:effectLst>
          <a:outerShdw blurRad="57785" dist="33020" dir="3180000" algn="ctr">
            <a:srgbClr val="000000">
              <a:alpha val="30000"/>
            </a:srgbClr>
          </a:outerShdw>
        </a:effectLst>
        <a:scene3d>
          <a:camera prst="orthographicFront">
            <a:rot lat="0" lon="0" rev="0"/>
          </a:camera>
          <a:lightRig rig="brightRoom" dir="t">
            <a:rot lat="0" lon="0" rev="600000"/>
          </a:lightRig>
        </a:scene3d>
        <a:sp3d prstMaterial="metal">
          <a:bevelT w="38100" h="57150" prst="angle"/>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rgbClr val="FFC000"/>
              </a:solidFill>
              <a:latin typeface="Amasis MT Pro Black" panose="02040A04050005020304" pitchFamily="18" charset="0"/>
            </a:rPr>
            <a:t>Riesgos Gestión</a:t>
          </a:r>
        </a:p>
      </xdr:txBody>
    </xdr:sp>
    <xdr:clientData/>
  </xdr:twoCellAnchor>
  <xdr:twoCellAnchor>
    <xdr:from>
      <xdr:col>9</xdr:col>
      <xdr:colOff>501650</xdr:colOff>
      <xdr:row>38</xdr:row>
      <xdr:rowOff>12700</xdr:rowOff>
    </xdr:from>
    <xdr:to>
      <xdr:col>13</xdr:col>
      <xdr:colOff>514350</xdr:colOff>
      <xdr:row>41</xdr:row>
      <xdr:rowOff>50800</xdr:rowOff>
    </xdr:to>
    <xdr:grpSp>
      <xdr:nvGrpSpPr>
        <xdr:cNvPr id="45" name="Grupo 44">
          <a:extLst>
            <a:ext uri="{FF2B5EF4-FFF2-40B4-BE49-F238E27FC236}">
              <a16:creationId xmlns:a16="http://schemas.microsoft.com/office/drawing/2014/main" id="{D4E16D66-DC5C-44F4-AE17-2A613F0A9E3D}"/>
            </a:ext>
          </a:extLst>
        </xdr:cNvPr>
        <xdr:cNvGrpSpPr/>
      </xdr:nvGrpSpPr>
      <xdr:grpSpPr>
        <a:xfrm>
          <a:off x="7849507" y="7269843"/>
          <a:ext cx="3278414" cy="582386"/>
          <a:chOff x="7162800" y="2114550"/>
          <a:chExt cx="3060700" cy="590550"/>
        </a:xfrm>
        <a:solidFill>
          <a:schemeClr val="accent4">
            <a:lumMod val="75000"/>
          </a:schemeClr>
        </a:solidFill>
      </xdr:grpSpPr>
      <xdr:sp macro="" textlink="">
        <xdr:nvSpPr>
          <xdr:cNvPr id="46" name="Rectángulo: esquinas redondeadas 45">
            <a:extLst>
              <a:ext uri="{FF2B5EF4-FFF2-40B4-BE49-F238E27FC236}">
                <a16:creationId xmlns:a16="http://schemas.microsoft.com/office/drawing/2014/main" id="{20A2DCAD-6639-5C85-918F-DA84295D7EE5}"/>
              </a:ext>
            </a:extLst>
          </xdr:cNvPr>
          <xdr:cNvSpPr/>
        </xdr:nvSpPr>
        <xdr:spPr>
          <a:xfrm>
            <a:off x="7162800" y="2120900"/>
            <a:ext cx="1835150" cy="584200"/>
          </a:xfrm>
          <a:prstGeom prst="roundRect">
            <a:avLst/>
          </a:prstGeom>
          <a:grpFill/>
          <a:ln>
            <a:solidFill>
              <a:schemeClr val="tx1"/>
            </a:solidFill>
          </a:ln>
          <a:effectLst>
            <a:outerShdw blurRad="57785" dist="33020" dir="3180000" algn="ctr">
              <a:srgbClr val="000000">
                <a:alpha val="30000"/>
              </a:srgbClr>
            </a:outerShdw>
          </a:effectLst>
          <a:scene3d>
            <a:camera prst="orthographicFront">
              <a:rot lat="0" lon="0" rev="0"/>
            </a:camera>
            <a:lightRig rig="brightRoom" dir="t">
              <a:rot lat="0" lon="0" rev="600000"/>
            </a:lightRig>
          </a:scene3d>
          <a:sp3d prstMaterial="metal">
            <a:bevelT w="38100" h="57150" prst="angle"/>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rgbClr val="FFC000"/>
                </a:solidFill>
                <a:latin typeface="Amasis MT Pro Black" panose="02040A04050005020304" pitchFamily="18" charset="0"/>
              </a:rPr>
              <a:t>Riesgos Gestión</a:t>
            </a:r>
          </a:p>
        </xdr:txBody>
      </xdr:sp>
      <xdr:sp macro="" textlink="">
        <xdr:nvSpPr>
          <xdr:cNvPr id="47" name="Rectángulo: esquinas redondeadas 46">
            <a:extLst>
              <a:ext uri="{FF2B5EF4-FFF2-40B4-BE49-F238E27FC236}">
                <a16:creationId xmlns:a16="http://schemas.microsoft.com/office/drawing/2014/main" id="{D47F6CA9-E096-8CF8-5DBF-6132618BEEA8}"/>
              </a:ext>
            </a:extLst>
          </xdr:cNvPr>
          <xdr:cNvSpPr/>
        </xdr:nvSpPr>
        <xdr:spPr>
          <a:xfrm>
            <a:off x="9156700" y="2114550"/>
            <a:ext cx="1066800" cy="584200"/>
          </a:xfrm>
          <a:prstGeom prst="roundRect">
            <a:avLst/>
          </a:prstGeom>
          <a:solidFill>
            <a:schemeClr val="bg1">
              <a:lumMod val="85000"/>
            </a:schemeClr>
          </a:solidFill>
          <a:ln>
            <a:solidFill>
              <a:schemeClr val="tx1"/>
            </a:solidFill>
          </a:ln>
          <a:effectLst>
            <a:outerShdw blurRad="57785" dist="33020" dir="3180000" algn="ctr">
              <a:srgbClr val="000000">
                <a:alpha val="30000"/>
              </a:srgbClr>
            </a:outerShdw>
          </a:effectLst>
          <a:scene3d>
            <a:camera prst="orthographicFront">
              <a:rot lat="0" lon="0" rev="0"/>
            </a:camera>
            <a:lightRig rig="brightRoom" dir="t">
              <a:rot lat="0" lon="0" rev="600000"/>
            </a:lightRig>
          </a:scene3d>
          <a:sp3d prstMaterial="metal">
            <a:bevelT w="38100" h="57150" prst="angle"/>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chemeClr val="tx1"/>
                </a:solidFill>
                <a:latin typeface="Amasis MT Pro Black" panose="02040A04050005020304" pitchFamily="18" charset="0"/>
              </a:rPr>
              <a:t>3</a:t>
            </a:r>
          </a:p>
        </xdr:txBody>
      </xdr:sp>
    </xdr:grpSp>
    <xdr:clientData/>
  </xdr:twoCellAnchor>
  <xdr:twoCellAnchor>
    <xdr:from>
      <xdr:col>14</xdr:col>
      <xdr:colOff>474382</xdr:colOff>
      <xdr:row>37</xdr:row>
      <xdr:rowOff>164354</xdr:rowOff>
    </xdr:from>
    <xdr:to>
      <xdr:col>18</xdr:col>
      <xdr:colOff>487082</xdr:colOff>
      <xdr:row>41</xdr:row>
      <xdr:rowOff>15689</xdr:rowOff>
    </xdr:to>
    <xdr:grpSp>
      <xdr:nvGrpSpPr>
        <xdr:cNvPr id="48" name="Grupo 47">
          <a:extLst>
            <a:ext uri="{FF2B5EF4-FFF2-40B4-BE49-F238E27FC236}">
              <a16:creationId xmlns:a16="http://schemas.microsoft.com/office/drawing/2014/main" id="{5AA718EE-6603-41CB-8033-56BBC8E2DF8C}"/>
            </a:ext>
          </a:extLst>
        </xdr:cNvPr>
        <xdr:cNvGrpSpPr/>
      </xdr:nvGrpSpPr>
      <xdr:grpSpPr>
        <a:xfrm>
          <a:off x="11904382" y="7240068"/>
          <a:ext cx="3278414" cy="577050"/>
          <a:chOff x="7162800" y="2114550"/>
          <a:chExt cx="3060700" cy="590550"/>
        </a:xfrm>
        <a:solidFill>
          <a:schemeClr val="accent4">
            <a:lumMod val="75000"/>
          </a:schemeClr>
        </a:solidFill>
      </xdr:grpSpPr>
      <xdr:sp macro="" textlink="">
        <xdr:nvSpPr>
          <xdr:cNvPr id="49" name="Rectángulo: esquinas redondeadas 48">
            <a:extLst>
              <a:ext uri="{FF2B5EF4-FFF2-40B4-BE49-F238E27FC236}">
                <a16:creationId xmlns:a16="http://schemas.microsoft.com/office/drawing/2014/main" id="{801AA773-3DCA-35B3-CE50-BF3107CAE353}"/>
              </a:ext>
            </a:extLst>
          </xdr:cNvPr>
          <xdr:cNvSpPr/>
        </xdr:nvSpPr>
        <xdr:spPr>
          <a:xfrm>
            <a:off x="7162800" y="2120900"/>
            <a:ext cx="1835150" cy="584200"/>
          </a:xfrm>
          <a:prstGeom prst="roundRect">
            <a:avLst/>
          </a:prstGeom>
          <a:grpFill/>
          <a:ln>
            <a:solidFill>
              <a:schemeClr val="tx1"/>
            </a:solidFill>
          </a:ln>
          <a:effectLst>
            <a:outerShdw blurRad="57785" dist="33020" dir="3180000" algn="ctr">
              <a:srgbClr val="000000">
                <a:alpha val="30000"/>
              </a:srgbClr>
            </a:outerShdw>
          </a:effectLst>
          <a:scene3d>
            <a:camera prst="orthographicFront">
              <a:rot lat="0" lon="0" rev="0"/>
            </a:camera>
            <a:lightRig rig="brightRoom" dir="t">
              <a:rot lat="0" lon="0" rev="600000"/>
            </a:lightRig>
          </a:scene3d>
          <a:sp3d prstMaterial="metal">
            <a:bevelT w="38100" h="57150" prst="angle"/>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rgbClr val="FFC000"/>
                </a:solidFill>
                <a:latin typeface="Amasis MT Pro Black" panose="02040A04050005020304" pitchFamily="18" charset="0"/>
              </a:rPr>
              <a:t>Riesgos Fiscales</a:t>
            </a:r>
          </a:p>
        </xdr:txBody>
      </xdr:sp>
      <xdr:sp macro="" textlink="">
        <xdr:nvSpPr>
          <xdr:cNvPr id="50" name="Rectángulo: esquinas redondeadas 49">
            <a:extLst>
              <a:ext uri="{FF2B5EF4-FFF2-40B4-BE49-F238E27FC236}">
                <a16:creationId xmlns:a16="http://schemas.microsoft.com/office/drawing/2014/main" id="{F32471C7-B47B-9403-2833-0CA48F81DE86}"/>
              </a:ext>
            </a:extLst>
          </xdr:cNvPr>
          <xdr:cNvSpPr/>
        </xdr:nvSpPr>
        <xdr:spPr>
          <a:xfrm>
            <a:off x="9156700" y="2114550"/>
            <a:ext cx="1066800" cy="584200"/>
          </a:xfrm>
          <a:prstGeom prst="roundRect">
            <a:avLst/>
          </a:prstGeom>
          <a:solidFill>
            <a:schemeClr val="bg1">
              <a:lumMod val="85000"/>
            </a:schemeClr>
          </a:solidFill>
          <a:ln>
            <a:solidFill>
              <a:schemeClr val="tx1"/>
            </a:solidFill>
          </a:ln>
          <a:effectLst>
            <a:outerShdw blurRad="57785" dist="33020" dir="3180000" algn="ctr">
              <a:srgbClr val="000000">
                <a:alpha val="30000"/>
              </a:srgbClr>
            </a:outerShdw>
          </a:effectLst>
          <a:scene3d>
            <a:camera prst="orthographicFront">
              <a:rot lat="0" lon="0" rev="0"/>
            </a:camera>
            <a:lightRig rig="brightRoom" dir="t">
              <a:rot lat="0" lon="0" rev="600000"/>
            </a:lightRig>
          </a:scene3d>
          <a:sp3d prstMaterial="metal">
            <a:bevelT w="38100" h="57150" prst="angle"/>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chemeClr val="tx1"/>
                </a:solidFill>
                <a:latin typeface="Amasis MT Pro Black" panose="02040A04050005020304" pitchFamily="18" charset="0"/>
              </a:rPr>
              <a:t>1</a:t>
            </a:r>
          </a:p>
        </xdr:txBody>
      </xdr:sp>
    </xdr:grpSp>
    <xdr:clientData/>
  </xdr:twoCellAnchor>
  <xdr:twoCellAnchor>
    <xdr:from>
      <xdr:col>2</xdr:col>
      <xdr:colOff>475877</xdr:colOff>
      <xdr:row>32</xdr:row>
      <xdr:rowOff>26894</xdr:rowOff>
    </xdr:from>
    <xdr:to>
      <xdr:col>6</xdr:col>
      <xdr:colOff>488577</xdr:colOff>
      <xdr:row>35</xdr:row>
      <xdr:rowOff>57523</xdr:rowOff>
    </xdr:to>
    <xdr:grpSp>
      <xdr:nvGrpSpPr>
        <xdr:cNvPr id="51" name="Grupo 50">
          <a:extLst>
            <a:ext uri="{FF2B5EF4-FFF2-40B4-BE49-F238E27FC236}">
              <a16:creationId xmlns:a16="http://schemas.microsoft.com/office/drawing/2014/main" id="{C308D3A6-A166-4A13-BC1E-AE2A8B784F57}"/>
            </a:ext>
          </a:extLst>
        </xdr:cNvPr>
        <xdr:cNvGrpSpPr/>
      </xdr:nvGrpSpPr>
      <xdr:grpSpPr>
        <a:xfrm>
          <a:off x="2108734" y="6195465"/>
          <a:ext cx="3278414" cy="574915"/>
          <a:chOff x="7162800" y="2114550"/>
          <a:chExt cx="3060700" cy="590550"/>
        </a:xfrm>
        <a:solidFill>
          <a:srgbClr val="002060"/>
        </a:solidFill>
      </xdr:grpSpPr>
      <xdr:sp macro="" textlink="">
        <xdr:nvSpPr>
          <xdr:cNvPr id="52" name="Rectángulo: esquinas redondeadas 51">
            <a:extLst>
              <a:ext uri="{FF2B5EF4-FFF2-40B4-BE49-F238E27FC236}">
                <a16:creationId xmlns:a16="http://schemas.microsoft.com/office/drawing/2014/main" id="{6D1D2E1F-EFBF-53D9-E2CD-F8542A94B109}"/>
              </a:ext>
            </a:extLst>
          </xdr:cNvPr>
          <xdr:cNvSpPr/>
        </xdr:nvSpPr>
        <xdr:spPr>
          <a:xfrm>
            <a:off x="7162800" y="2120900"/>
            <a:ext cx="1835150" cy="584200"/>
          </a:xfrm>
          <a:prstGeom prst="roundRect">
            <a:avLst/>
          </a:prstGeom>
          <a:grpFill/>
          <a:ln>
            <a:solidFill>
              <a:schemeClr val="tx1"/>
            </a:solidFill>
          </a:ln>
          <a:effectLst>
            <a:outerShdw blurRad="57785" dist="33020" dir="3180000" algn="ctr">
              <a:srgbClr val="000000">
                <a:alpha val="30000"/>
              </a:srgbClr>
            </a:outerShdw>
          </a:effectLst>
          <a:scene3d>
            <a:camera prst="orthographicFront">
              <a:rot lat="0" lon="0" rev="0"/>
            </a:camera>
            <a:lightRig rig="brightRoom" dir="t">
              <a:rot lat="0" lon="0" rev="600000"/>
            </a:lightRig>
          </a:scene3d>
          <a:sp3d prstMaterial="metal">
            <a:bevelT w="38100" h="57150" prst="angle"/>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rgbClr val="FFC000"/>
                </a:solidFill>
                <a:latin typeface="Amasis MT Pro Black" panose="02040A04050005020304" pitchFamily="18" charset="0"/>
              </a:rPr>
              <a:t>Riesgos Gestión</a:t>
            </a:r>
          </a:p>
        </xdr:txBody>
      </xdr:sp>
      <xdr:sp macro="" textlink="">
        <xdr:nvSpPr>
          <xdr:cNvPr id="53" name="Rectángulo: esquinas redondeadas 52">
            <a:extLst>
              <a:ext uri="{FF2B5EF4-FFF2-40B4-BE49-F238E27FC236}">
                <a16:creationId xmlns:a16="http://schemas.microsoft.com/office/drawing/2014/main" id="{5F67F8A1-F8C7-BE31-8F17-DEF0C7B66B72}"/>
              </a:ext>
            </a:extLst>
          </xdr:cNvPr>
          <xdr:cNvSpPr/>
        </xdr:nvSpPr>
        <xdr:spPr>
          <a:xfrm>
            <a:off x="9156700" y="2114550"/>
            <a:ext cx="1066800" cy="584200"/>
          </a:xfrm>
          <a:prstGeom prst="roundRect">
            <a:avLst/>
          </a:prstGeom>
          <a:solidFill>
            <a:srgbClr val="FFC000"/>
          </a:solidFill>
          <a:ln>
            <a:solidFill>
              <a:schemeClr val="tx1"/>
            </a:solidFill>
          </a:ln>
          <a:effectLst>
            <a:outerShdw blurRad="57785" dist="33020" dir="3180000" algn="ctr">
              <a:srgbClr val="000000">
                <a:alpha val="30000"/>
              </a:srgbClr>
            </a:outerShdw>
          </a:effectLst>
          <a:scene3d>
            <a:camera prst="orthographicFront">
              <a:rot lat="0" lon="0" rev="0"/>
            </a:camera>
            <a:lightRig rig="brightRoom" dir="t">
              <a:rot lat="0" lon="0" rev="600000"/>
            </a:lightRig>
          </a:scene3d>
          <a:sp3d prstMaterial="metal">
            <a:bevelT w="38100" h="57150" prst="angle"/>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chemeClr val="tx1"/>
                </a:solidFill>
                <a:latin typeface="Amasis MT Pro Black" panose="02040A04050005020304" pitchFamily="18" charset="0"/>
              </a:rPr>
              <a:t>44</a:t>
            </a:r>
          </a:p>
        </xdr:txBody>
      </xdr:sp>
    </xdr:grpSp>
    <xdr:clientData/>
  </xdr:twoCellAnchor>
  <xdr:twoCellAnchor>
    <xdr:from>
      <xdr:col>2</xdr:col>
      <xdr:colOff>463924</xdr:colOff>
      <xdr:row>36</xdr:row>
      <xdr:rowOff>59764</xdr:rowOff>
    </xdr:from>
    <xdr:to>
      <xdr:col>6</xdr:col>
      <xdr:colOff>476624</xdr:colOff>
      <xdr:row>39</xdr:row>
      <xdr:rowOff>90394</xdr:rowOff>
    </xdr:to>
    <xdr:grpSp>
      <xdr:nvGrpSpPr>
        <xdr:cNvPr id="54" name="Grupo 53">
          <a:extLst>
            <a:ext uri="{FF2B5EF4-FFF2-40B4-BE49-F238E27FC236}">
              <a16:creationId xmlns:a16="http://schemas.microsoft.com/office/drawing/2014/main" id="{0EF90FA0-096A-457B-9404-5FD07F38679D}"/>
            </a:ext>
          </a:extLst>
        </xdr:cNvPr>
        <xdr:cNvGrpSpPr/>
      </xdr:nvGrpSpPr>
      <xdr:grpSpPr>
        <a:xfrm>
          <a:off x="2096781" y="6954050"/>
          <a:ext cx="3278414" cy="574915"/>
          <a:chOff x="7162800" y="2114550"/>
          <a:chExt cx="3060700" cy="590550"/>
        </a:xfrm>
        <a:solidFill>
          <a:srgbClr val="002060"/>
        </a:solidFill>
      </xdr:grpSpPr>
      <xdr:sp macro="" textlink="">
        <xdr:nvSpPr>
          <xdr:cNvPr id="55" name="Rectángulo: esquinas redondeadas 54">
            <a:extLst>
              <a:ext uri="{FF2B5EF4-FFF2-40B4-BE49-F238E27FC236}">
                <a16:creationId xmlns:a16="http://schemas.microsoft.com/office/drawing/2014/main" id="{39F8D90F-52C7-A3E0-A4D7-989AF3BDFCDC}"/>
              </a:ext>
            </a:extLst>
          </xdr:cNvPr>
          <xdr:cNvSpPr/>
        </xdr:nvSpPr>
        <xdr:spPr>
          <a:xfrm>
            <a:off x="7162800" y="2120900"/>
            <a:ext cx="1835150" cy="584200"/>
          </a:xfrm>
          <a:prstGeom prst="roundRect">
            <a:avLst/>
          </a:prstGeom>
          <a:grpFill/>
          <a:ln>
            <a:solidFill>
              <a:schemeClr val="tx1"/>
            </a:solidFill>
          </a:ln>
          <a:effectLst>
            <a:outerShdw blurRad="57785" dist="33020" dir="3180000" algn="ctr">
              <a:srgbClr val="000000">
                <a:alpha val="30000"/>
              </a:srgbClr>
            </a:outerShdw>
          </a:effectLst>
          <a:scene3d>
            <a:camera prst="orthographicFront">
              <a:rot lat="0" lon="0" rev="0"/>
            </a:camera>
            <a:lightRig rig="brightRoom" dir="t">
              <a:rot lat="0" lon="0" rev="600000"/>
            </a:lightRig>
          </a:scene3d>
          <a:sp3d prstMaterial="metal">
            <a:bevelT w="38100" h="57150" prst="angle"/>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rgbClr val="FFC000"/>
                </a:solidFill>
                <a:latin typeface="Amasis MT Pro Black" panose="02040A04050005020304" pitchFamily="18" charset="0"/>
              </a:rPr>
              <a:t>Riesgos Fiscales</a:t>
            </a:r>
          </a:p>
        </xdr:txBody>
      </xdr:sp>
      <xdr:sp macro="" textlink="">
        <xdr:nvSpPr>
          <xdr:cNvPr id="56" name="Rectángulo: esquinas redondeadas 55">
            <a:extLst>
              <a:ext uri="{FF2B5EF4-FFF2-40B4-BE49-F238E27FC236}">
                <a16:creationId xmlns:a16="http://schemas.microsoft.com/office/drawing/2014/main" id="{E4C7CC15-9A34-9797-4D2C-42FCFE50B521}"/>
              </a:ext>
            </a:extLst>
          </xdr:cNvPr>
          <xdr:cNvSpPr/>
        </xdr:nvSpPr>
        <xdr:spPr>
          <a:xfrm>
            <a:off x="9156700" y="2114550"/>
            <a:ext cx="1066800" cy="584200"/>
          </a:xfrm>
          <a:prstGeom prst="roundRect">
            <a:avLst/>
          </a:prstGeom>
          <a:solidFill>
            <a:srgbClr val="FFC000"/>
          </a:solidFill>
          <a:ln>
            <a:solidFill>
              <a:schemeClr val="tx1"/>
            </a:solidFill>
          </a:ln>
          <a:effectLst>
            <a:outerShdw blurRad="57785" dist="33020" dir="3180000" algn="ctr">
              <a:srgbClr val="000000">
                <a:alpha val="30000"/>
              </a:srgbClr>
            </a:outerShdw>
          </a:effectLst>
          <a:scene3d>
            <a:camera prst="orthographicFront">
              <a:rot lat="0" lon="0" rev="0"/>
            </a:camera>
            <a:lightRig rig="brightRoom" dir="t">
              <a:rot lat="0" lon="0" rev="600000"/>
            </a:lightRig>
          </a:scene3d>
          <a:sp3d prstMaterial="metal">
            <a:bevelT w="38100" h="57150" prst="angle"/>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chemeClr val="tx1"/>
                </a:solidFill>
                <a:latin typeface="Amasis MT Pro Black" panose="02040A04050005020304" pitchFamily="18" charset="0"/>
              </a:rPr>
              <a:t>11</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125454</xdr:colOff>
      <xdr:row>0</xdr:row>
      <xdr:rowOff>47220</xdr:rowOff>
    </xdr:from>
    <xdr:to>
      <xdr:col>1</xdr:col>
      <xdr:colOff>810684</xdr:colOff>
      <xdr:row>2</xdr:row>
      <xdr:rowOff>144991</xdr:rowOff>
    </xdr:to>
    <xdr:pic>
      <xdr:nvPicPr>
        <xdr:cNvPr id="2" name="Imagen 1" descr="C:\Users\camila.vargas\Documents\7. PRESENTACIONES\IMAGENES ESTANDARES\LOGO FAC solo.png">
          <a:extLst>
            <a:ext uri="{FF2B5EF4-FFF2-40B4-BE49-F238E27FC236}">
              <a16:creationId xmlns:a16="http://schemas.microsoft.com/office/drawing/2014/main" id="{20382435-CA88-46F3-BA0F-CD90864C331B}"/>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466" t="26767" r="26616" b="22105"/>
        <a:stretch/>
      </xdr:blipFill>
      <xdr:spPr bwMode="auto">
        <a:xfrm>
          <a:off x="929787" y="47220"/>
          <a:ext cx="678880" cy="722188"/>
        </a:xfrm>
        <a:prstGeom prst="rect">
          <a:avLst/>
        </a:prstGeom>
        <a:noFill/>
        <a:ln>
          <a:noFill/>
        </a:ln>
        <a:extLst>
          <a:ext uri="{53640926-AAD7-44D8-BBD7-CCE9431645EC}">
            <a14:shadowObscured xmlns:a14="http://schemas.microsoft.com/office/drawing/2010/main"/>
          </a:ext>
        </a:extLst>
      </xdr:spPr>
    </xdr:pic>
    <xdr:clientData/>
  </xdr:twoCellAnchor>
  <xdr:twoCellAnchor>
    <xdr:from>
      <xdr:col>41</xdr:col>
      <xdr:colOff>779992</xdr:colOff>
      <xdr:row>9</xdr:row>
      <xdr:rowOff>497417</xdr:rowOff>
    </xdr:from>
    <xdr:to>
      <xdr:col>41</xdr:col>
      <xdr:colOff>923925</xdr:colOff>
      <xdr:row>9</xdr:row>
      <xdr:rowOff>638176</xdr:rowOff>
    </xdr:to>
    <xdr:sp macro="" textlink="">
      <xdr:nvSpPr>
        <xdr:cNvPr id="3" name="Elipse 2">
          <a:hlinkClick xmlns:r="http://schemas.openxmlformats.org/officeDocument/2006/relationships" r:id="rId2"/>
          <a:extLst>
            <a:ext uri="{FF2B5EF4-FFF2-40B4-BE49-F238E27FC236}">
              <a16:creationId xmlns:a16="http://schemas.microsoft.com/office/drawing/2014/main" id="{413E8802-835A-9945-AE5F-6D3B19DA5CC2}"/>
            </a:ext>
          </a:extLst>
        </xdr:cNvPr>
        <xdr:cNvSpPr/>
      </xdr:nvSpPr>
      <xdr:spPr>
        <a:xfrm>
          <a:off x="41568159" y="4053417"/>
          <a:ext cx="143933" cy="140759"/>
        </a:xfrm>
        <a:prstGeom prst="ellipse">
          <a:avLst/>
        </a:prstGeom>
        <a:solidFill>
          <a:srgbClr val="FFC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125454</xdr:colOff>
      <xdr:row>0</xdr:row>
      <xdr:rowOff>47220</xdr:rowOff>
    </xdr:from>
    <xdr:ext cx="685230" cy="710359"/>
    <xdr:pic>
      <xdr:nvPicPr>
        <xdr:cNvPr id="2" name="Imagen 1" descr="C:\Users\camila.vargas\Documents\7. PRESENTACIONES\IMAGENES ESTANDARES\LOGO FAC solo.png">
          <a:extLst>
            <a:ext uri="{FF2B5EF4-FFF2-40B4-BE49-F238E27FC236}">
              <a16:creationId xmlns:a16="http://schemas.microsoft.com/office/drawing/2014/main" id="{EF5EE937-1B97-411E-826D-B2AE8FFAF295}"/>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466" t="26767" r="26616" b="22105"/>
        <a:stretch/>
      </xdr:blipFill>
      <xdr:spPr bwMode="auto">
        <a:xfrm>
          <a:off x="925554" y="47220"/>
          <a:ext cx="685230" cy="710359"/>
        </a:xfrm>
        <a:prstGeom prst="rect">
          <a:avLst/>
        </a:prstGeom>
        <a:noFill/>
        <a:ln>
          <a:noFill/>
        </a:ln>
        <a:extLst>
          <a:ext uri="{53640926-AAD7-44D8-BBD7-CCE9431645EC}">
            <a14:shadowObscured xmlns:a14="http://schemas.microsoft.com/office/drawing/2010/main"/>
          </a:ext>
        </a:extLst>
      </xdr:spPr>
    </xdr:pic>
    <xdr:clientData/>
  </xdr:oneCellAnchor>
  <xdr:twoCellAnchor>
    <xdr:from>
      <xdr:col>41</xdr:col>
      <xdr:colOff>779992</xdr:colOff>
      <xdr:row>9</xdr:row>
      <xdr:rowOff>497417</xdr:rowOff>
    </xdr:from>
    <xdr:to>
      <xdr:col>41</xdr:col>
      <xdr:colOff>923925</xdr:colOff>
      <xdr:row>9</xdr:row>
      <xdr:rowOff>638176</xdr:rowOff>
    </xdr:to>
    <xdr:sp macro="" textlink="">
      <xdr:nvSpPr>
        <xdr:cNvPr id="3" name="Elipse 2">
          <a:hlinkClick xmlns:r="http://schemas.openxmlformats.org/officeDocument/2006/relationships" r:id="rId2"/>
          <a:extLst>
            <a:ext uri="{FF2B5EF4-FFF2-40B4-BE49-F238E27FC236}">
              <a16:creationId xmlns:a16="http://schemas.microsoft.com/office/drawing/2014/main" id="{46650FDC-4C74-499A-8C66-5A2062ECCCC2}"/>
            </a:ext>
          </a:extLst>
        </xdr:cNvPr>
        <xdr:cNvSpPr/>
      </xdr:nvSpPr>
      <xdr:spPr>
        <a:xfrm>
          <a:off x="33584092" y="1843617"/>
          <a:ext cx="16933" cy="0"/>
        </a:xfrm>
        <a:prstGeom prst="ellipse">
          <a:avLst/>
        </a:prstGeom>
        <a:solidFill>
          <a:srgbClr val="FFC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xdr:col>
      <xdr:colOff>125454</xdr:colOff>
      <xdr:row>0</xdr:row>
      <xdr:rowOff>47220</xdr:rowOff>
    </xdr:from>
    <xdr:ext cx="685230" cy="710359"/>
    <xdr:pic>
      <xdr:nvPicPr>
        <xdr:cNvPr id="2" name="Imagen 1" descr="C:\Users\camila.vargas\Documents\7. PRESENTACIONES\IMAGENES ESTANDARES\LOGO FAC solo.png">
          <a:extLst>
            <a:ext uri="{FF2B5EF4-FFF2-40B4-BE49-F238E27FC236}">
              <a16:creationId xmlns:a16="http://schemas.microsoft.com/office/drawing/2014/main" id="{31C599DB-492D-4F9D-88B6-6B982E2FC6D6}"/>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466" t="26767" r="26616" b="22105"/>
        <a:stretch/>
      </xdr:blipFill>
      <xdr:spPr bwMode="auto">
        <a:xfrm>
          <a:off x="925554" y="47220"/>
          <a:ext cx="685230" cy="710359"/>
        </a:xfrm>
        <a:prstGeom prst="rect">
          <a:avLst/>
        </a:prstGeom>
        <a:noFill/>
        <a:ln>
          <a:noFill/>
        </a:ln>
        <a:extLst>
          <a:ext uri="{53640926-AAD7-44D8-BBD7-CCE9431645EC}">
            <a14:shadowObscured xmlns:a14="http://schemas.microsoft.com/office/drawing/2010/main"/>
          </a:ext>
        </a:extLst>
      </xdr:spPr>
    </xdr:pic>
    <xdr:clientData/>
  </xdr:oneCellAnchor>
  <xdr:twoCellAnchor>
    <xdr:from>
      <xdr:col>41</xdr:col>
      <xdr:colOff>735818</xdr:colOff>
      <xdr:row>9</xdr:row>
      <xdr:rowOff>602330</xdr:rowOff>
    </xdr:from>
    <xdr:to>
      <xdr:col>41</xdr:col>
      <xdr:colOff>879751</xdr:colOff>
      <xdr:row>9</xdr:row>
      <xdr:rowOff>743089</xdr:rowOff>
    </xdr:to>
    <xdr:sp macro="" textlink="">
      <xdr:nvSpPr>
        <xdr:cNvPr id="3" name="Elipse 2">
          <a:hlinkClick xmlns:r="http://schemas.openxmlformats.org/officeDocument/2006/relationships" r:id="rId2"/>
          <a:extLst>
            <a:ext uri="{FF2B5EF4-FFF2-40B4-BE49-F238E27FC236}">
              <a16:creationId xmlns:a16="http://schemas.microsoft.com/office/drawing/2014/main" id="{D75AA200-8A25-4328-929F-AB5260538231}"/>
            </a:ext>
          </a:extLst>
        </xdr:cNvPr>
        <xdr:cNvSpPr/>
      </xdr:nvSpPr>
      <xdr:spPr>
        <a:xfrm>
          <a:off x="45312818" y="4158330"/>
          <a:ext cx="143933" cy="140759"/>
        </a:xfrm>
        <a:prstGeom prst="ellipse">
          <a:avLst/>
        </a:prstGeom>
        <a:solidFill>
          <a:srgbClr val="FFC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125454</xdr:colOff>
      <xdr:row>0</xdr:row>
      <xdr:rowOff>47220</xdr:rowOff>
    </xdr:from>
    <xdr:to>
      <xdr:col>1</xdr:col>
      <xdr:colOff>810684</xdr:colOff>
      <xdr:row>2</xdr:row>
      <xdr:rowOff>144991</xdr:rowOff>
    </xdr:to>
    <xdr:pic>
      <xdr:nvPicPr>
        <xdr:cNvPr id="2" name="Imagen 1" descr="C:\Users\camila.vargas\Documents\7. PRESENTACIONES\IMAGENES ESTANDARES\LOGO FAC solo.png">
          <a:extLst>
            <a:ext uri="{FF2B5EF4-FFF2-40B4-BE49-F238E27FC236}">
              <a16:creationId xmlns:a16="http://schemas.microsoft.com/office/drawing/2014/main" id="{3740D1C8-1833-45BE-A9E6-DB35449E844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466" t="26767" r="26616" b="22105"/>
        <a:stretch/>
      </xdr:blipFill>
      <xdr:spPr bwMode="auto">
        <a:xfrm>
          <a:off x="919204" y="47220"/>
          <a:ext cx="685230" cy="713721"/>
        </a:xfrm>
        <a:prstGeom prst="rect">
          <a:avLst/>
        </a:prstGeom>
        <a:noFill/>
        <a:ln>
          <a:noFill/>
        </a:ln>
        <a:extLst>
          <a:ext uri="{53640926-AAD7-44D8-BBD7-CCE9431645EC}">
            <a14:shadowObscured xmlns:a14="http://schemas.microsoft.com/office/drawing/2010/main"/>
          </a:ext>
        </a:extLst>
      </xdr:spPr>
    </xdr:pic>
    <xdr:clientData/>
  </xdr:twoCellAnchor>
  <xdr:twoCellAnchor>
    <xdr:from>
      <xdr:col>41</xdr:col>
      <xdr:colOff>779992</xdr:colOff>
      <xdr:row>9</xdr:row>
      <xdr:rowOff>497417</xdr:rowOff>
    </xdr:from>
    <xdr:to>
      <xdr:col>41</xdr:col>
      <xdr:colOff>923925</xdr:colOff>
      <xdr:row>9</xdr:row>
      <xdr:rowOff>638176</xdr:rowOff>
    </xdr:to>
    <xdr:sp macro="" textlink="">
      <xdr:nvSpPr>
        <xdr:cNvPr id="3" name="Elipse 2">
          <a:hlinkClick xmlns:r="http://schemas.openxmlformats.org/officeDocument/2006/relationships" r:id="rId2"/>
          <a:extLst>
            <a:ext uri="{FF2B5EF4-FFF2-40B4-BE49-F238E27FC236}">
              <a16:creationId xmlns:a16="http://schemas.microsoft.com/office/drawing/2014/main" id="{F9A82D08-4BE7-4403-8BBE-74DB76E85D83}"/>
            </a:ext>
          </a:extLst>
        </xdr:cNvPr>
        <xdr:cNvSpPr/>
      </xdr:nvSpPr>
      <xdr:spPr>
        <a:xfrm>
          <a:off x="42969392" y="4047067"/>
          <a:ext cx="143933" cy="140759"/>
        </a:xfrm>
        <a:prstGeom prst="ellipse">
          <a:avLst/>
        </a:prstGeom>
        <a:solidFill>
          <a:srgbClr val="FFC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125454</xdr:colOff>
      <xdr:row>0</xdr:row>
      <xdr:rowOff>47220</xdr:rowOff>
    </xdr:from>
    <xdr:to>
      <xdr:col>1</xdr:col>
      <xdr:colOff>810684</xdr:colOff>
      <xdr:row>2</xdr:row>
      <xdr:rowOff>144991</xdr:rowOff>
    </xdr:to>
    <xdr:pic>
      <xdr:nvPicPr>
        <xdr:cNvPr id="2" name="Imagen 1" descr="C:\Users\camila.vargas\Documents\7. PRESENTACIONES\IMAGENES ESTANDARES\LOGO FAC solo.png">
          <a:extLst>
            <a:ext uri="{FF2B5EF4-FFF2-40B4-BE49-F238E27FC236}">
              <a16:creationId xmlns:a16="http://schemas.microsoft.com/office/drawing/2014/main" id="{0D40F6F6-97EF-4871-9205-30D2D0F1A24D}"/>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466" t="26767" r="26616" b="22105"/>
        <a:stretch/>
      </xdr:blipFill>
      <xdr:spPr bwMode="auto">
        <a:xfrm>
          <a:off x="1033504" y="47220"/>
          <a:ext cx="685230" cy="713721"/>
        </a:xfrm>
        <a:prstGeom prst="rect">
          <a:avLst/>
        </a:prstGeom>
        <a:noFill/>
        <a:ln>
          <a:noFill/>
        </a:ln>
        <a:extLst>
          <a:ext uri="{53640926-AAD7-44D8-BBD7-CCE9431645EC}">
            <a14:shadowObscured xmlns:a14="http://schemas.microsoft.com/office/drawing/2010/main"/>
          </a:ext>
        </a:extLst>
      </xdr:spPr>
    </xdr:pic>
    <xdr:clientData/>
  </xdr:twoCellAnchor>
  <xdr:twoCellAnchor>
    <xdr:from>
      <xdr:col>41</xdr:col>
      <xdr:colOff>779992</xdr:colOff>
      <xdr:row>9</xdr:row>
      <xdr:rowOff>588127</xdr:rowOff>
    </xdr:from>
    <xdr:to>
      <xdr:col>41</xdr:col>
      <xdr:colOff>923925</xdr:colOff>
      <xdr:row>9</xdr:row>
      <xdr:rowOff>728886</xdr:rowOff>
    </xdr:to>
    <xdr:sp macro="" textlink="">
      <xdr:nvSpPr>
        <xdr:cNvPr id="3" name="Elipse 2">
          <a:hlinkClick xmlns:r="http://schemas.openxmlformats.org/officeDocument/2006/relationships" r:id="rId2"/>
          <a:extLst>
            <a:ext uri="{FF2B5EF4-FFF2-40B4-BE49-F238E27FC236}">
              <a16:creationId xmlns:a16="http://schemas.microsoft.com/office/drawing/2014/main" id="{802EA4DF-E559-4F96-A5E3-06AEBE409231}"/>
            </a:ext>
          </a:extLst>
        </xdr:cNvPr>
        <xdr:cNvSpPr/>
      </xdr:nvSpPr>
      <xdr:spPr>
        <a:xfrm>
          <a:off x="32752242" y="4137777"/>
          <a:ext cx="143933" cy="140759"/>
        </a:xfrm>
        <a:prstGeom prst="ellipse">
          <a:avLst/>
        </a:prstGeom>
        <a:solidFill>
          <a:srgbClr val="FFC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493059</xdr:colOff>
      <xdr:row>42</xdr:row>
      <xdr:rowOff>56030</xdr:rowOff>
    </xdr:from>
    <xdr:to>
      <xdr:col>9</xdr:col>
      <xdr:colOff>633817</xdr:colOff>
      <xdr:row>42</xdr:row>
      <xdr:rowOff>199964</xdr:rowOff>
    </xdr:to>
    <xdr:sp macro="" textlink="">
      <xdr:nvSpPr>
        <xdr:cNvPr id="2" name="Elipse 1">
          <a:extLst>
            <a:ext uri="{FF2B5EF4-FFF2-40B4-BE49-F238E27FC236}">
              <a16:creationId xmlns:a16="http://schemas.microsoft.com/office/drawing/2014/main" id="{B0833A14-5C63-457C-8D6A-2AFD796C9553}"/>
            </a:ext>
          </a:extLst>
        </xdr:cNvPr>
        <xdr:cNvSpPr/>
      </xdr:nvSpPr>
      <xdr:spPr>
        <a:xfrm>
          <a:off x="14590059" y="14365942"/>
          <a:ext cx="140758" cy="143934"/>
        </a:xfrm>
        <a:prstGeom prst="ellipse">
          <a:avLst/>
        </a:prstGeom>
        <a:solidFill>
          <a:srgbClr val="C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editAs="oneCell">
    <xdr:from>
      <xdr:col>9</xdr:col>
      <xdr:colOff>290286</xdr:colOff>
      <xdr:row>46</xdr:row>
      <xdr:rowOff>134471</xdr:rowOff>
    </xdr:from>
    <xdr:to>
      <xdr:col>15</xdr:col>
      <xdr:colOff>1778912</xdr:colOff>
      <xdr:row>78</xdr:row>
      <xdr:rowOff>69685</xdr:rowOff>
    </xdr:to>
    <xdr:pic>
      <xdr:nvPicPr>
        <xdr:cNvPr id="3" name="Imagen 2" descr="Gráfico, Gráfico de barras&#10;&#10;Descripción generada automáticamente">
          <a:extLst>
            <a:ext uri="{FF2B5EF4-FFF2-40B4-BE49-F238E27FC236}">
              <a16:creationId xmlns:a16="http://schemas.microsoft.com/office/drawing/2014/main" id="{3942F7FD-AE86-EE8C-6DB0-973B1B0872D7}"/>
            </a:ext>
          </a:extLst>
        </xdr:cNvPr>
        <xdr:cNvPicPr>
          <a:picLocks noChangeAspect="1"/>
        </xdr:cNvPicPr>
      </xdr:nvPicPr>
      <xdr:blipFill>
        <a:blip xmlns:r="http://schemas.openxmlformats.org/officeDocument/2006/relationships" r:embed="rId1"/>
        <a:stretch>
          <a:fillRect/>
        </a:stretch>
      </xdr:blipFill>
      <xdr:spPr>
        <a:xfrm>
          <a:off x="15149286" y="8824900"/>
          <a:ext cx="9925055" cy="578628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Planeacion%20Sectorial\2017\SG%20FT%20043%20Identificaci&#243;n%20y%20Seguimiento%20a%20los%20Riesgos%20Institucionales_v3.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fuerzaaereacolombia-my.sharepoint.com/personal/oscar_bustos_fac_mil_co/Documents/2.SEMEP/RIESGOS/RIESGOS%202024/FINALES/INSPECCI&#211;N%20,%20CONTROL%20Y%20GESTI&#211;N/MATRIZ%20RIESGOS%20PROCESO%20Y%20FISCAL%20IGEFA.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USUARIO\Downloads\DE-SEMEP-FR-088%20(OFAS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fuerzaaereacolombia-my.sharepoint.com/personal/oscar_bustos_fac_mil_co/Documents/2.SEMEP/RIESGOS/RIESGOS%202024/FINALES/DIRECCIONAMIENTO%20ESTRAT&#201;GICO/AAAE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fuerzaaereacolombia-my.sharepoint.com/personal/oscar_bustos_fac_mil_co/Documents/2.SEMEP/RIESGOS/RIESGOS%202024/FINALES/DIRECCIONAMIENTO%20ESTRAT&#201;GICO/DEAJU.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fuerzaaereacolombia-my.sharepoint.com/personal/oscar_bustos_fac_mil_co/Documents/2.SEMEP/RIESGOS/RIESGOS%202024/FINALES/DIRECCIONAMIENTO%20ESTRAT&#201;GICO/SEPH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USUARIO\AppData\Local\Microsoft\Windows\INetCache\Content.Outlook\VQY6FXBF\MATRIZ%20DE%20CAPTURA%20ANALISIS%20DE%20RIESGOS%20DE%20GESTION%2019_01_2024.xlsx" TargetMode="External"/></Relationships>
</file>

<file path=xl/externalLinks/_rels/externalLink6.xml.rels><?xml version="1.0" encoding="UTF-8" standalone="yes"?>
<Relationships xmlns="http://schemas.openxmlformats.org/package/2006/relationships"><Relationship Id="rId2" Type="http://schemas.microsoft.com/office/2019/04/relationships/externalLinkLongPath" Target="https://fuerzaaereacolombia-my.sharepoint.com/personal/oscar_bustos_fac_mil_co/Documents/2.SEMEP/RIESGOS/RIESGOS%202024/FINALES/GESTI&#211;N%20APOYO/DE-SEMEP-FR-088%20MATRIZ%20DE%20CAPTURA%20ANALISIS%20DE%20RIESGOS%20DE%20GESTION%20Y%20FISCAL%20(1).xlsx?34D6ABD4" TargetMode="External"/><Relationship Id="rId1" Type="http://schemas.openxmlformats.org/officeDocument/2006/relationships/externalLinkPath" Target="file:///\\34D6ABD4\DE-SEMEP-FR-088%20MATRIZ%20DE%20CAPTURA%20ANALISIS%20DE%20RIESGOS%20DE%20GESTION%20Y%20FISCAL%20(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fuerzaaereacolombia-my.sharepoint.com/personal/oscar_bustos_fac_mil_co/Documents/2.SEMEP/RIESGOS/RIESGOS%202024/FINALES/GESTI&#211;N%20HUMANA/CODEH-G.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fuerzaaereacolombia-my.sharepoint.com/Users/david.saldarriaga/Downloads/DE-SEMEP-FR-088%20MATRIZ%20DE%20CAPTURA%20ANALISIS%20RIESGO%20FISCAL%20JEFSA%20vb.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fuerzaaereacolombia-my.sharepoint.com/personal/oscar_bustos_fac_mil_co/Documents/2.SEMEP/RIESGOS/RIESGOS%202024/FINALES/OPERACIONES%20A&#201;REAS/OAES-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rocedim-objetivos"/>
      <sheetName val="Identifica Riesgos G - C"/>
      <sheetName val="Descripcion RGC"/>
      <sheetName val="Conceptos"/>
      <sheetName val="Tablas - Mapa de Calor"/>
      <sheetName val="Ej Ficha Tecnica Indicador"/>
      <sheetName val="FT Existentes_Informativo"/>
      <sheetName val="Hoja2"/>
      <sheetName val="Listas"/>
    </sheetNames>
    <sheetDataSet>
      <sheetData sheetId="0">
        <row r="3">
          <cell r="B3" t="str">
            <v>Adquisicion_de_Bienes_y_Servicios</v>
          </cell>
        </row>
        <row r="4">
          <cell r="B4" t="str">
            <v>Asesoria_Capacitación_y_Asistencia_Técnica</v>
          </cell>
        </row>
        <row r="5">
          <cell r="B5" t="str">
            <v>Fomento_y_Promoción</v>
          </cell>
        </row>
        <row r="6">
          <cell r="B6" t="str">
            <v>Gestión_Documental</v>
          </cell>
        </row>
        <row r="7">
          <cell r="B7" t="str">
            <v>Gestión_de_Información_y_Comunicaciones</v>
          </cell>
        </row>
        <row r="8">
          <cell r="B8" t="str">
            <v>Gestion_de_Políticas</v>
          </cell>
        </row>
        <row r="9">
          <cell r="B9" t="str">
            <v>Gestión_del_Talento_Humano</v>
          </cell>
        </row>
        <row r="10">
          <cell r="B10" t="str">
            <v>Gestión_Jurídica</v>
          </cell>
        </row>
        <row r="11">
          <cell r="B11" t="str">
            <v>Gestión_Recursos_Financieros</v>
          </cell>
        </row>
        <row r="12">
          <cell r="B12" t="str">
            <v>Gestión_Recursos_Físicos</v>
          </cell>
        </row>
        <row r="13">
          <cell r="B13" t="str">
            <v>Negociación_y_Administración_de_Relaciones_Comerciales</v>
          </cell>
        </row>
        <row r="14">
          <cell r="B14" t="str">
            <v>Sistemas_de_ Gestión</v>
          </cell>
        </row>
        <row r="15">
          <cell r="B15" t="str">
            <v>Planeación_Estrátegica</v>
          </cell>
        </row>
        <row r="16">
          <cell r="B16" t="str">
            <v>Evaluación_y_Seguimiento</v>
          </cell>
        </row>
      </sheetData>
      <sheetData sheetId="1" refreshError="1"/>
      <sheetData sheetId="2">
        <row r="10">
          <cell r="AK10">
            <v>0</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pección, Control y Gestión S"/>
      <sheetName val="Campos"/>
    </sheetNames>
    <sheetDataSet>
      <sheetData sheetId="0"/>
      <sheetData sheetId="1">
        <row r="11">
          <cell r="H11" t="str">
            <v>Probabilidad</v>
          </cell>
          <cell r="I11"/>
          <cell r="J11" t="str">
            <v>Números aleatorios</v>
          </cell>
          <cell r="K11" t="str">
            <v>Valoración Impacto</v>
          </cell>
          <cell r="L11"/>
          <cell r="M11" t="str">
            <v>Código por combinación</v>
          </cell>
          <cell r="N11" t="str">
            <v>Zona de riesgo inicial</v>
          </cell>
          <cell r="O11"/>
          <cell r="P11"/>
          <cell r="Q11" t="str">
            <v xml:space="preserve">Opción de manejo ó tratamiento 
</v>
          </cell>
        </row>
        <row r="12">
          <cell r="H12"/>
          <cell r="I12"/>
          <cell r="J12"/>
          <cell r="K12"/>
          <cell r="L12"/>
          <cell r="M12"/>
          <cell r="N12"/>
          <cell r="O12"/>
          <cell r="P12"/>
          <cell r="Q12"/>
        </row>
        <row r="13">
          <cell r="H13" t="str">
            <v>1-Muy baja</v>
          </cell>
          <cell r="I13">
            <v>1</v>
          </cell>
          <cell r="J13">
            <v>30</v>
          </cell>
          <cell r="K13" t="str">
            <v>1 Leve</v>
          </cell>
          <cell r="L13">
            <v>1</v>
          </cell>
          <cell r="M13">
            <v>31</v>
          </cell>
          <cell r="N13" t="str">
            <v>1 - Zona de riesgo Baja</v>
          </cell>
          <cell r="O13"/>
          <cell r="P13"/>
          <cell r="Q13" t="str">
            <v>Aceptar el riesgo</v>
          </cell>
        </row>
        <row r="14">
          <cell r="H14" t="str">
            <v>1-Muy baja</v>
          </cell>
          <cell r="I14">
            <v>1</v>
          </cell>
          <cell r="J14">
            <v>30</v>
          </cell>
          <cell r="K14" t="str">
            <v>2 Menor</v>
          </cell>
          <cell r="L14">
            <v>2</v>
          </cell>
          <cell r="M14">
            <v>32</v>
          </cell>
          <cell r="N14" t="str">
            <v>2 - Zona de riesgo Baja</v>
          </cell>
          <cell r="O14"/>
          <cell r="P14"/>
          <cell r="Q14" t="str">
            <v>Aceptar el riesgo</v>
          </cell>
        </row>
        <row r="15">
          <cell r="H15" t="str">
            <v>1-Muy baja</v>
          </cell>
          <cell r="I15">
            <v>1</v>
          </cell>
          <cell r="J15">
            <v>30</v>
          </cell>
          <cell r="K15" t="str">
            <v>3 Moderado</v>
          </cell>
          <cell r="L15">
            <v>3</v>
          </cell>
          <cell r="M15">
            <v>33</v>
          </cell>
          <cell r="N15" t="str">
            <v>3 - Zona de riesgo Moderada</v>
          </cell>
          <cell r="O15"/>
          <cell r="P15"/>
          <cell r="Q15" t="str">
            <v>Reducir el riesgo</v>
          </cell>
        </row>
        <row r="16">
          <cell r="H16" t="str">
            <v>1-Muy baja</v>
          </cell>
          <cell r="I16">
            <v>1</v>
          </cell>
          <cell r="J16">
            <v>30</v>
          </cell>
          <cell r="K16" t="str">
            <v>4 Mayor</v>
          </cell>
          <cell r="L16">
            <v>4</v>
          </cell>
          <cell r="M16">
            <v>34</v>
          </cell>
          <cell r="N16" t="str">
            <v>4 - Zona de riesgo Alta</v>
          </cell>
          <cell r="O16"/>
          <cell r="P16"/>
          <cell r="Q16" t="str">
            <v>Reducir el riesgo</v>
          </cell>
        </row>
        <row r="17">
          <cell r="H17" t="str">
            <v>1-Muy baja</v>
          </cell>
          <cell r="I17">
            <v>1</v>
          </cell>
          <cell r="J17">
            <v>30</v>
          </cell>
          <cell r="K17" t="str">
            <v xml:space="preserve">5 Catastrófico </v>
          </cell>
          <cell r="L17">
            <v>5</v>
          </cell>
          <cell r="M17">
            <v>35</v>
          </cell>
          <cell r="N17" t="str">
            <v>5 - Zona de riesgo Extremo</v>
          </cell>
          <cell r="O17"/>
          <cell r="P17"/>
          <cell r="Q17" t="str">
            <v>Evitar o compartir el riesgo</v>
          </cell>
        </row>
        <row r="18">
          <cell r="H18" t="str">
            <v>2- Baja</v>
          </cell>
          <cell r="I18">
            <v>2</v>
          </cell>
          <cell r="J18">
            <v>42</v>
          </cell>
          <cell r="K18" t="str">
            <v>1 Insignificante</v>
          </cell>
          <cell r="L18">
            <v>1</v>
          </cell>
          <cell r="M18">
            <v>43</v>
          </cell>
          <cell r="N18" t="str">
            <v>1 - Zona de riesgo Baja</v>
          </cell>
          <cell r="O18"/>
          <cell r="P18"/>
          <cell r="Q18" t="str">
            <v>Aceptar el riesgo</v>
          </cell>
        </row>
        <row r="19">
          <cell r="H19" t="str">
            <v>2- Baja</v>
          </cell>
          <cell r="I19">
            <v>2</v>
          </cell>
          <cell r="J19">
            <v>42</v>
          </cell>
          <cell r="K19" t="str">
            <v>2 Menor</v>
          </cell>
          <cell r="L19">
            <v>2</v>
          </cell>
          <cell r="M19">
            <v>44</v>
          </cell>
          <cell r="N19" t="str">
            <v>2 - Zona de riesgo Moderada</v>
          </cell>
          <cell r="O19"/>
          <cell r="P19"/>
          <cell r="Q19" t="str">
            <v>Reducir el riesgo</v>
          </cell>
        </row>
        <row r="20">
          <cell r="H20" t="str">
            <v>2- Baja</v>
          </cell>
          <cell r="I20">
            <v>2</v>
          </cell>
          <cell r="J20">
            <v>42</v>
          </cell>
          <cell r="K20" t="str">
            <v>3 Moderado</v>
          </cell>
          <cell r="L20">
            <v>3</v>
          </cell>
          <cell r="M20">
            <v>45</v>
          </cell>
          <cell r="N20" t="str">
            <v>3 - Zona de riesgo Moderada</v>
          </cell>
          <cell r="O20"/>
          <cell r="P20"/>
          <cell r="Q20" t="str">
            <v>Reducir el riesgo</v>
          </cell>
        </row>
        <row r="21">
          <cell r="H21" t="str">
            <v>2- Baja</v>
          </cell>
          <cell r="I21">
            <v>2</v>
          </cell>
          <cell r="J21">
            <v>42</v>
          </cell>
          <cell r="K21" t="str">
            <v>4 Mayor</v>
          </cell>
          <cell r="L21">
            <v>4</v>
          </cell>
          <cell r="M21">
            <v>46</v>
          </cell>
          <cell r="N21" t="str">
            <v>4 - Zona de riesgo Alta</v>
          </cell>
          <cell r="O21"/>
          <cell r="P21"/>
          <cell r="Q21" t="str">
            <v>Reducir el riesgo</v>
          </cell>
        </row>
        <row r="22">
          <cell r="H22" t="str">
            <v>2- Baja</v>
          </cell>
          <cell r="I22">
            <v>2</v>
          </cell>
          <cell r="J22">
            <v>42</v>
          </cell>
          <cell r="K22" t="str">
            <v xml:space="preserve">5 Catastrófico </v>
          </cell>
          <cell r="L22">
            <v>5</v>
          </cell>
          <cell r="M22">
            <v>47</v>
          </cell>
          <cell r="N22" t="str">
            <v>5 - Zona de riesgo Extremo</v>
          </cell>
          <cell r="O22"/>
          <cell r="P22"/>
          <cell r="Q22" t="str">
            <v>Evitar o compartir el riesgo</v>
          </cell>
          <cell r="X22" t="str">
            <v>Probabilidad</v>
          </cell>
        </row>
        <row r="23">
          <cell r="H23" t="str">
            <v>3- Media</v>
          </cell>
          <cell r="I23">
            <v>3</v>
          </cell>
          <cell r="J23">
            <v>52</v>
          </cell>
          <cell r="K23" t="str">
            <v>1 Leve</v>
          </cell>
          <cell r="L23">
            <v>1</v>
          </cell>
          <cell r="M23">
            <v>53</v>
          </cell>
          <cell r="N23" t="str">
            <v>1 - Zona de riesgo Moderada</v>
          </cell>
          <cell r="O23"/>
          <cell r="P23"/>
          <cell r="Q23" t="str">
            <v>Reducir el riesgo</v>
          </cell>
          <cell r="W23">
            <v>0.01</v>
          </cell>
          <cell r="X23"/>
        </row>
        <row r="24">
          <cell r="H24" t="str">
            <v>3- Media</v>
          </cell>
          <cell r="I24">
            <v>3</v>
          </cell>
          <cell r="J24">
            <v>52</v>
          </cell>
          <cell r="K24" t="str">
            <v>2 Menor</v>
          </cell>
          <cell r="L24">
            <v>2</v>
          </cell>
          <cell r="M24">
            <v>54</v>
          </cell>
          <cell r="N24" t="str">
            <v>2 - Zona de riesgo Moderada</v>
          </cell>
          <cell r="O24"/>
          <cell r="P24"/>
          <cell r="Q24" t="str">
            <v>Reducir el riesgo</v>
          </cell>
          <cell r="W24">
            <v>0.02</v>
          </cell>
          <cell r="X24" t="str">
            <v>Muy Baja - 20%</v>
          </cell>
          <cell r="Y24" t="str">
            <v>1 Leve</v>
          </cell>
        </row>
        <row r="25">
          <cell r="H25" t="str">
            <v>3- Media</v>
          </cell>
          <cell r="I25">
            <v>3</v>
          </cell>
          <cell r="J25">
            <v>52</v>
          </cell>
          <cell r="K25" t="str">
            <v>3 Moderado</v>
          </cell>
          <cell r="L25">
            <v>3</v>
          </cell>
          <cell r="M25">
            <v>55</v>
          </cell>
          <cell r="N25" t="str">
            <v>3 - Zona de riesgo Moderada</v>
          </cell>
          <cell r="O25"/>
          <cell r="P25"/>
          <cell r="Q25" t="str">
            <v>Reducir el riesgo</v>
          </cell>
          <cell r="W25">
            <v>0.03</v>
          </cell>
          <cell r="X25" t="str">
            <v>Muy Baja - 20%</v>
          </cell>
          <cell r="Y25" t="str">
            <v>1 Leve</v>
          </cell>
        </row>
        <row r="26">
          <cell r="H26" t="str">
            <v>3- Media</v>
          </cell>
          <cell r="I26">
            <v>3</v>
          </cell>
          <cell r="J26">
            <v>52</v>
          </cell>
          <cell r="K26" t="str">
            <v>4 Mayor</v>
          </cell>
          <cell r="L26">
            <v>4</v>
          </cell>
          <cell r="M26">
            <v>56</v>
          </cell>
          <cell r="N26" t="str">
            <v>4 - Zona de riesgo Alta</v>
          </cell>
          <cell r="O26"/>
          <cell r="P26"/>
          <cell r="Q26" t="str">
            <v>Reducir el riesgo</v>
          </cell>
          <cell r="W26">
            <v>0.04</v>
          </cell>
          <cell r="X26" t="str">
            <v>Muy Baja - 20%</v>
          </cell>
          <cell r="Y26" t="str">
            <v>1 Leve</v>
          </cell>
        </row>
        <row r="27">
          <cell r="H27" t="str">
            <v>3- Media</v>
          </cell>
          <cell r="I27">
            <v>3</v>
          </cell>
          <cell r="J27">
            <v>52</v>
          </cell>
          <cell r="K27" t="str">
            <v xml:space="preserve">5 Catastrófico </v>
          </cell>
          <cell r="L27">
            <v>5</v>
          </cell>
          <cell r="M27">
            <v>57</v>
          </cell>
          <cell r="N27" t="str">
            <v>5 - Zona de riesgo Extremo</v>
          </cell>
          <cell r="O27"/>
          <cell r="P27"/>
          <cell r="Q27" t="str">
            <v>Evitar o compartir el riesgo</v>
          </cell>
          <cell r="W27">
            <v>0.05</v>
          </cell>
          <cell r="X27" t="str">
            <v>Muy Baja - 20%</v>
          </cell>
          <cell r="Y27" t="str">
            <v>1 Leve</v>
          </cell>
        </row>
        <row r="28">
          <cell r="H28" t="str">
            <v>4- Alta</v>
          </cell>
          <cell r="I28">
            <v>4</v>
          </cell>
          <cell r="J28">
            <v>63</v>
          </cell>
          <cell r="K28" t="str">
            <v>1 Leve</v>
          </cell>
          <cell r="L28">
            <v>1</v>
          </cell>
          <cell r="M28">
            <v>64</v>
          </cell>
          <cell r="N28" t="str">
            <v>1 - Zona de riesgo Moderada</v>
          </cell>
          <cell r="O28"/>
          <cell r="P28"/>
          <cell r="Q28" t="str">
            <v>Reducir el riesgo</v>
          </cell>
          <cell r="W28">
            <v>0.06</v>
          </cell>
          <cell r="X28" t="str">
            <v>Muy Baja - 20%</v>
          </cell>
          <cell r="Y28" t="str">
            <v>1 Leve</v>
          </cell>
        </row>
        <row r="29">
          <cell r="H29" t="str">
            <v>4- Alta</v>
          </cell>
          <cell r="I29">
            <v>4</v>
          </cell>
          <cell r="J29">
            <v>63</v>
          </cell>
          <cell r="K29" t="str">
            <v>2 Menor</v>
          </cell>
          <cell r="L29">
            <v>2</v>
          </cell>
          <cell r="M29">
            <v>65</v>
          </cell>
          <cell r="N29" t="str">
            <v>2 - Zona de riesgo Moderada</v>
          </cell>
          <cell r="O29"/>
          <cell r="P29"/>
          <cell r="Q29" t="str">
            <v>Reducir el riesgo</v>
          </cell>
          <cell r="W29">
            <v>7.0000000000000007E-2</v>
          </cell>
          <cell r="X29" t="str">
            <v>Muy Baja - 20%</v>
          </cell>
          <cell r="Y29" t="str">
            <v>1 Leve</v>
          </cell>
        </row>
        <row r="30">
          <cell r="H30" t="str">
            <v>4- Alta</v>
          </cell>
          <cell r="I30">
            <v>4</v>
          </cell>
          <cell r="J30">
            <v>63</v>
          </cell>
          <cell r="K30" t="str">
            <v>3 Moderado</v>
          </cell>
          <cell r="L30">
            <v>3</v>
          </cell>
          <cell r="M30">
            <v>66</v>
          </cell>
          <cell r="N30" t="str">
            <v>3 - Zona de riesgo Alta</v>
          </cell>
          <cell r="O30"/>
          <cell r="P30"/>
          <cell r="Q30" t="str">
            <v>Reducir el riesgo</v>
          </cell>
          <cell r="W30">
            <v>0.08</v>
          </cell>
          <cell r="X30" t="str">
            <v>Muy Baja - 20%</v>
          </cell>
          <cell r="Y30" t="str">
            <v>1 Leve</v>
          </cell>
        </row>
        <row r="31">
          <cell r="H31" t="str">
            <v>4- Alta</v>
          </cell>
          <cell r="I31">
            <v>4</v>
          </cell>
          <cell r="J31">
            <v>63</v>
          </cell>
          <cell r="K31" t="str">
            <v>4 Mayor</v>
          </cell>
          <cell r="L31">
            <v>4</v>
          </cell>
          <cell r="M31">
            <v>67</v>
          </cell>
          <cell r="N31" t="str">
            <v>4 - Zona de riesgo Alta</v>
          </cell>
          <cell r="O31"/>
          <cell r="P31"/>
          <cell r="Q31" t="str">
            <v>Reducir el riesgo</v>
          </cell>
          <cell r="W31">
            <v>0.09</v>
          </cell>
          <cell r="X31" t="str">
            <v>Muy Baja - 20%</v>
          </cell>
          <cell r="Y31" t="str">
            <v>1 Leve</v>
          </cell>
        </row>
        <row r="32">
          <cell r="H32" t="str">
            <v>4- Alta</v>
          </cell>
          <cell r="I32">
            <v>4</v>
          </cell>
          <cell r="J32">
            <v>63</v>
          </cell>
          <cell r="K32" t="str">
            <v xml:space="preserve">5 Catastrófico </v>
          </cell>
          <cell r="L32">
            <v>5</v>
          </cell>
          <cell r="M32">
            <v>68</v>
          </cell>
          <cell r="N32" t="str">
            <v>5 - Zona de riesgo Extremo</v>
          </cell>
          <cell r="O32"/>
          <cell r="P32"/>
          <cell r="Q32" t="str">
            <v>Evitar o compartir el riesgo</v>
          </cell>
          <cell r="S32" t="str">
            <v>Valoración Impacto</v>
          </cell>
          <cell r="T32" t="str">
            <v>%</v>
          </cell>
          <cell r="W32">
            <v>0.1</v>
          </cell>
          <cell r="X32" t="str">
            <v>Muy Baja - 20%</v>
          </cell>
          <cell r="Y32" t="str">
            <v>1 Leve</v>
          </cell>
        </row>
        <row r="33">
          <cell r="H33" t="str">
            <v>5 - Muy Alta</v>
          </cell>
          <cell r="I33">
            <v>5</v>
          </cell>
          <cell r="J33">
            <v>74</v>
          </cell>
          <cell r="K33" t="str">
            <v>1 Leve</v>
          </cell>
          <cell r="L33">
            <v>1</v>
          </cell>
          <cell r="M33">
            <v>75</v>
          </cell>
          <cell r="N33" t="str">
            <v>1 - Zona de riesgo Alta</v>
          </cell>
          <cell r="O33"/>
          <cell r="P33"/>
          <cell r="Q33" t="str">
            <v>Reducir el riesgo</v>
          </cell>
          <cell r="S33"/>
          <cell r="T33"/>
          <cell r="W33">
            <v>0.11</v>
          </cell>
          <cell r="X33" t="str">
            <v>Muy Baja - 20%</v>
          </cell>
          <cell r="Y33" t="str">
            <v>1 Leve</v>
          </cell>
        </row>
        <row r="34">
          <cell r="H34" t="str">
            <v>6 - Muy Alta</v>
          </cell>
          <cell r="I34">
            <v>5</v>
          </cell>
          <cell r="J34">
            <v>74</v>
          </cell>
          <cell r="K34" t="str">
            <v>2 Menor</v>
          </cell>
          <cell r="L34">
            <v>2</v>
          </cell>
          <cell r="M34">
            <v>76</v>
          </cell>
          <cell r="N34" t="str">
            <v>2 - Zona de riesgo Alta</v>
          </cell>
          <cell r="O34"/>
          <cell r="P34"/>
          <cell r="Q34" t="str">
            <v>Reducir el riesgo</v>
          </cell>
          <cell r="S34" t="str">
            <v>1 Leve</v>
          </cell>
          <cell r="T34">
            <v>0.2</v>
          </cell>
          <cell r="W34">
            <v>0.12</v>
          </cell>
          <cell r="X34" t="str">
            <v>Muy Baja - 20%</v>
          </cell>
          <cell r="Y34" t="str">
            <v>1 Leve</v>
          </cell>
        </row>
        <row r="35">
          <cell r="H35" t="str">
            <v>7 - Muy Alta</v>
          </cell>
          <cell r="I35">
            <v>5</v>
          </cell>
          <cell r="J35">
            <v>74</v>
          </cell>
          <cell r="K35" t="str">
            <v>3 Moderado</v>
          </cell>
          <cell r="L35">
            <v>3</v>
          </cell>
          <cell r="M35">
            <v>77</v>
          </cell>
          <cell r="N35" t="str">
            <v>3 - Zona de riesgo Alta</v>
          </cell>
          <cell r="O35"/>
          <cell r="P35"/>
          <cell r="Q35" t="str">
            <v>Reducir el riesgo</v>
          </cell>
          <cell r="S35" t="str">
            <v>2 Menor</v>
          </cell>
          <cell r="T35">
            <v>0.4</v>
          </cell>
          <cell r="W35">
            <v>0.13</v>
          </cell>
          <cell r="X35" t="str">
            <v>Muy Baja - 20%</v>
          </cell>
          <cell r="Y35" t="str">
            <v>1 Leve</v>
          </cell>
        </row>
        <row r="36">
          <cell r="H36" t="str">
            <v>8 - Muy Alta</v>
          </cell>
          <cell r="I36">
            <v>5</v>
          </cell>
          <cell r="J36">
            <v>74</v>
          </cell>
          <cell r="K36" t="str">
            <v>4 Mayor</v>
          </cell>
          <cell r="L36">
            <v>4</v>
          </cell>
          <cell r="M36">
            <v>78</v>
          </cell>
          <cell r="N36" t="str">
            <v>4 - Zona de riesgo Alta</v>
          </cell>
          <cell r="O36"/>
          <cell r="P36"/>
          <cell r="Q36" t="str">
            <v>Reducir el riesgo</v>
          </cell>
          <cell r="S36" t="str">
            <v>3 Moderado</v>
          </cell>
          <cell r="T36">
            <v>0.6</v>
          </cell>
          <cell r="W36">
            <v>0.14000000000000001</v>
          </cell>
          <cell r="X36" t="str">
            <v>Muy Baja - 20%</v>
          </cell>
          <cell r="Y36" t="str">
            <v>1 Leve</v>
          </cell>
        </row>
        <row r="37">
          <cell r="H37" t="str">
            <v>9 - Muy Alta</v>
          </cell>
          <cell r="I37">
            <v>5</v>
          </cell>
          <cell r="J37">
            <v>74</v>
          </cell>
          <cell r="K37" t="str">
            <v xml:space="preserve">5 Catastrófico </v>
          </cell>
          <cell r="L37">
            <v>5</v>
          </cell>
          <cell r="M37">
            <v>79</v>
          </cell>
          <cell r="N37" t="str">
            <v>5 - Zona de riesgo Extremo</v>
          </cell>
          <cell r="O37"/>
          <cell r="P37"/>
          <cell r="Q37" t="str">
            <v>Evitar o compartir el riesgo</v>
          </cell>
          <cell r="S37" t="str">
            <v>4 Mayor</v>
          </cell>
          <cell r="T37">
            <v>0.8</v>
          </cell>
          <cell r="W37">
            <v>0.15</v>
          </cell>
          <cell r="X37" t="str">
            <v>Muy Baja - 20%</v>
          </cell>
          <cell r="Y37" t="str">
            <v>1 Leve</v>
          </cell>
        </row>
        <row r="38">
          <cell r="S38" t="str">
            <v xml:space="preserve">5 Catastrófico </v>
          </cell>
          <cell r="T38">
            <v>1</v>
          </cell>
          <cell r="W38">
            <v>0.16</v>
          </cell>
          <cell r="X38" t="str">
            <v>Muy Baja - 20%</v>
          </cell>
          <cell r="Y38" t="str">
            <v>1 Leve</v>
          </cell>
        </row>
        <row r="39">
          <cell r="W39">
            <v>0.17</v>
          </cell>
          <cell r="X39" t="str">
            <v>Muy Baja - 20%</v>
          </cell>
          <cell r="Y39" t="str">
            <v>1 Leve</v>
          </cell>
        </row>
        <row r="40">
          <cell r="W40">
            <v>0.18</v>
          </cell>
          <cell r="X40" t="str">
            <v>Muy Baja - 20%</v>
          </cell>
          <cell r="Y40" t="str">
            <v>1 Leve</v>
          </cell>
        </row>
        <row r="41">
          <cell r="W41">
            <v>0.19</v>
          </cell>
          <cell r="X41" t="str">
            <v>Muy Baja - 20%</v>
          </cell>
          <cell r="Y41" t="str">
            <v>1 Leve</v>
          </cell>
        </row>
        <row r="42">
          <cell r="W42">
            <v>0.2</v>
          </cell>
          <cell r="X42" t="str">
            <v>Muy Baja - 20%</v>
          </cell>
          <cell r="Y42" t="str">
            <v>1 Leve</v>
          </cell>
        </row>
        <row r="43">
          <cell r="W43">
            <v>0.21</v>
          </cell>
          <cell r="X43" t="str">
            <v>Baja - 40%</v>
          </cell>
          <cell r="Y43" t="str">
            <v>2 Menor</v>
          </cell>
        </row>
        <row r="44">
          <cell r="W44">
            <v>0.22</v>
          </cell>
          <cell r="X44" t="str">
            <v>Baja - 40%</v>
          </cell>
          <cell r="Y44" t="str">
            <v>2 Menor</v>
          </cell>
        </row>
        <row r="45">
          <cell r="W45">
            <v>0.23</v>
          </cell>
          <cell r="X45" t="str">
            <v>Baja - 40%</v>
          </cell>
          <cell r="Y45" t="str">
            <v>2 Menor</v>
          </cell>
        </row>
        <row r="46">
          <cell r="W46">
            <v>0.24</v>
          </cell>
          <cell r="X46" t="str">
            <v>Baja - 40%</v>
          </cell>
          <cell r="Y46" t="str">
            <v>2 Menor</v>
          </cell>
        </row>
        <row r="47">
          <cell r="W47">
            <v>0.25</v>
          </cell>
          <cell r="X47" t="str">
            <v>Baja - 40%</v>
          </cell>
          <cell r="Y47" t="str">
            <v>2 Menor</v>
          </cell>
        </row>
        <row r="48">
          <cell r="W48">
            <v>0.26</v>
          </cell>
          <cell r="X48" t="str">
            <v>Baja - 40%</v>
          </cell>
          <cell r="Y48" t="str">
            <v>2 Menor</v>
          </cell>
        </row>
        <row r="49">
          <cell r="W49">
            <v>0.27</v>
          </cell>
          <cell r="X49" t="str">
            <v>Baja - 40%</v>
          </cell>
          <cell r="Y49" t="str">
            <v>2 Menor</v>
          </cell>
        </row>
        <row r="50">
          <cell r="W50">
            <v>0.28000000000000003</v>
          </cell>
          <cell r="X50" t="str">
            <v>Baja - 40%</v>
          </cell>
          <cell r="Y50" t="str">
            <v>2 Menor</v>
          </cell>
        </row>
        <row r="51">
          <cell r="W51">
            <v>0.28999999999999998</v>
          </cell>
          <cell r="X51" t="str">
            <v>Baja - 40%</v>
          </cell>
          <cell r="Y51" t="str">
            <v>2 Menor</v>
          </cell>
        </row>
        <row r="52">
          <cell r="W52">
            <v>0.3</v>
          </cell>
          <cell r="X52" t="str">
            <v>Baja - 40%</v>
          </cell>
          <cell r="Y52" t="str">
            <v>2 Menor</v>
          </cell>
        </row>
        <row r="53">
          <cell r="W53">
            <v>0.31</v>
          </cell>
          <cell r="X53" t="str">
            <v>Baja - 40%</v>
          </cell>
          <cell r="Y53" t="str">
            <v>2 Menor</v>
          </cell>
        </row>
        <row r="54">
          <cell r="W54">
            <v>0.32</v>
          </cell>
          <cell r="X54" t="str">
            <v>Baja - 40%</v>
          </cell>
          <cell r="Y54" t="str">
            <v>2 Menor</v>
          </cell>
        </row>
        <row r="55">
          <cell r="W55">
            <v>0.33</v>
          </cell>
          <cell r="X55" t="str">
            <v>Baja - 40%</v>
          </cell>
          <cell r="Y55" t="str">
            <v>2 Menor</v>
          </cell>
        </row>
        <row r="56">
          <cell r="W56">
            <v>0.34</v>
          </cell>
          <cell r="X56" t="str">
            <v>Baja - 40%</v>
          </cell>
          <cell r="Y56" t="str">
            <v>2 Menor</v>
          </cell>
        </row>
        <row r="57">
          <cell r="W57">
            <v>0.35</v>
          </cell>
          <cell r="X57" t="str">
            <v>Baja - 40%</v>
          </cell>
          <cell r="Y57" t="str">
            <v>2 Menor</v>
          </cell>
        </row>
        <row r="58">
          <cell r="W58">
            <v>0.36</v>
          </cell>
          <cell r="X58" t="str">
            <v>Baja - 40%</v>
          </cell>
          <cell r="Y58" t="str">
            <v>2 Menor</v>
          </cell>
        </row>
        <row r="59">
          <cell r="W59">
            <v>0.37</v>
          </cell>
          <cell r="X59" t="str">
            <v>Baja - 40%</v>
          </cell>
          <cell r="Y59" t="str">
            <v>2 Menor</v>
          </cell>
        </row>
        <row r="60">
          <cell r="W60">
            <v>0.38</v>
          </cell>
          <cell r="X60" t="str">
            <v>Baja - 40%</v>
          </cell>
          <cell r="Y60" t="str">
            <v>2 Menor</v>
          </cell>
        </row>
        <row r="61">
          <cell r="W61">
            <v>0.39</v>
          </cell>
          <cell r="X61" t="str">
            <v>Baja - 40%</v>
          </cell>
          <cell r="Y61" t="str">
            <v>2 Menor</v>
          </cell>
        </row>
        <row r="62">
          <cell r="W62">
            <v>0.4</v>
          </cell>
          <cell r="X62" t="str">
            <v>Baja - 40%</v>
          </cell>
          <cell r="Y62" t="str">
            <v>2 Menor</v>
          </cell>
        </row>
        <row r="63">
          <cell r="W63">
            <v>0.41</v>
          </cell>
          <cell r="X63" t="str">
            <v>Media - 60%</v>
          </cell>
          <cell r="Y63" t="str">
            <v>3 Moderado</v>
          </cell>
        </row>
        <row r="64">
          <cell r="W64">
            <v>0.42</v>
          </cell>
          <cell r="X64" t="str">
            <v>Media - 60%</v>
          </cell>
          <cell r="Y64" t="str">
            <v>3 Moderado</v>
          </cell>
        </row>
        <row r="65">
          <cell r="W65">
            <v>0.43</v>
          </cell>
          <cell r="X65" t="str">
            <v>Media - 60%</v>
          </cell>
          <cell r="Y65" t="str">
            <v>3 Moderado</v>
          </cell>
        </row>
        <row r="66">
          <cell r="D66" t="str">
            <v>Automático</v>
          </cell>
          <cell r="E66">
            <v>0.25</v>
          </cell>
          <cell r="W66">
            <v>0.44</v>
          </cell>
          <cell r="X66" t="str">
            <v>Media - 60%</v>
          </cell>
          <cell r="Y66" t="str">
            <v>3 Moderado</v>
          </cell>
        </row>
        <row r="67">
          <cell r="D67" t="str">
            <v>Manual</v>
          </cell>
          <cell r="E67">
            <v>0.15</v>
          </cell>
          <cell r="W67">
            <v>0.45</v>
          </cell>
          <cell r="X67" t="str">
            <v>Media - 60%</v>
          </cell>
          <cell r="Y67" t="str">
            <v>3 Moderado</v>
          </cell>
        </row>
        <row r="68">
          <cell r="W68">
            <v>0.46</v>
          </cell>
          <cell r="X68" t="str">
            <v>Media - 60%</v>
          </cell>
          <cell r="Y68" t="str">
            <v>3 Moderado</v>
          </cell>
        </row>
        <row r="69">
          <cell r="W69">
            <v>0.47</v>
          </cell>
          <cell r="X69" t="str">
            <v>Media - 60%</v>
          </cell>
          <cell r="Y69" t="str">
            <v>3 Moderado</v>
          </cell>
        </row>
        <row r="70">
          <cell r="W70">
            <v>0.48</v>
          </cell>
          <cell r="X70" t="str">
            <v>Media - 60%</v>
          </cell>
          <cell r="Y70" t="str">
            <v>3 Moderado</v>
          </cell>
        </row>
        <row r="71">
          <cell r="W71">
            <v>0.49</v>
          </cell>
          <cell r="X71" t="str">
            <v>Media - 60%</v>
          </cell>
          <cell r="Y71" t="str">
            <v>3 Moderado</v>
          </cell>
        </row>
        <row r="72">
          <cell r="W72">
            <v>0.5</v>
          </cell>
          <cell r="X72" t="str">
            <v>Media - 60%</v>
          </cell>
          <cell r="Y72" t="str">
            <v>3 Moderado</v>
          </cell>
        </row>
        <row r="73">
          <cell r="W73">
            <v>0.51</v>
          </cell>
          <cell r="X73" t="str">
            <v>Media - 60%</v>
          </cell>
          <cell r="Y73" t="str">
            <v>3 Moderado</v>
          </cell>
        </row>
        <row r="74">
          <cell r="W74">
            <v>0.52</v>
          </cell>
          <cell r="X74" t="str">
            <v>Media - 60%</v>
          </cell>
          <cell r="Y74" t="str">
            <v>3 Moderado</v>
          </cell>
        </row>
        <row r="75">
          <cell r="W75">
            <v>0.53</v>
          </cell>
          <cell r="X75" t="str">
            <v>Media - 60%</v>
          </cell>
          <cell r="Y75" t="str">
            <v>3 Moderado</v>
          </cell>
        </row>
        <row r="76">
          <cell r="W76">
            <v>0.54</v>
          </cell>
          <cell r="X76" t="str">
            <v>Media - 60%</v>
          </cell>
          <cell r="Y76" t="str">
            <v>3 Moderado</v>
          </cell>
        </row>
        <row r="77">
          <cell r="W77">
            <v>0.55000000000000004</v>
          </cell>
          <cell r="X77" t="str">
            <v>Media - 60%</v>
          </cell>
          <cell r="Y77" t="str">
            <v>3 Moderado</v>
          </cell>
        </row>
        <row r="78">
          <cell r="W78">
            <v>0.56000000000000005</v>
          </cell>
          <cell r="X78" t="str">
            <v>Media - 60%</v>
          </cell>
          <cell r="Y78" t="str">
            <v>3 Moderado</v>
          </cell>
        </row>
        <row r="79">
          <cell r="W79">
            <v>0.56999999999999995</v>
          </cell>
          <cell r="X79" t="str">
            <v>Media - 60%</v>
          </cell>
          <cell r="Y79" t="str">
            <v>3 Moderado</v>
          </cell>
        </row>
        <row r="80">
          <cell r="W80">
            <v>0.57999999999999996</v>
          </cell>
          <cell r="X80" t="str">
            <v>Media - 60%</v>
          </cell>
          <cell r="Y80" t="str">
            <v>3 Moderado</v>
          </cell>
        </row>
        <row r="81">
          <cell r="W81">
            <v>0.59</v>
          </cell>
          <cell r="X81" t="str">
            <v>Media - 60%</v>
          </cell>
          <cell r="Y81" t="str">
            <v>3 Moderado</v>
          </cell>
        </row>
        <row r="82">
          <cell r="W82">
            <v>0.6</v>
          </cell>
          <cell r="X82" t="str">
            <v>Media - 60%</v>
          </cell>
          <cell r="Y82" t="str">
            <v>3 Moderado</v>
          </cell>
        </row>
        <row r="83">
          <cell r="W83">
            <v>0.61</v>
          </cell>
          <cell r="X83" t="str">
            <v>Alta - 80%</v>
          </cell>
          <cell r="Y83" t="str">
            <v>4 Mayor</v>
          </cell>
        </row>
        <row r="84">
          <cell r="W84">
            <v>0.62</v>
          </cell>
          <cell r="X84" t="str">
            <v>Alta - 80%</v>
          </cell>
          <cell r="Y84" t="str">
            <v>4 Mayor</v>
          </cell>
        </row>
        <row r="85">
          <cell r="W85">
            <v>0.63</v>
          </cell>
          <cell r="X85" t="str">
            <v>Alta - 80%</v>
          </cell>
          <cell r="Y85" t="str">
            <v>4 Mayor</v>
          </cell>
        </row>
        <row r="86">
          <cell r="W86">
            <v>0.64</v>
          </cell>
          <cell r="X86" t="str">
            <v>Alta - 80%</v>
          </cell>
          <cell r="Y86" t="str">
            <v>4 Mayor</v>
          </cell>
        </row>
        <row r="87">
          <cell r="W87">
            <v>0.65</v>
          </cell>
          <cell r="X87" t="str">
            <v>Alta - 80%</v>
          </cell>
          <cell r="Y87" t="str">
            <v>4 Mayor</v>
          </cell>
        </row>
        <row r="88">
          <cell r="W88">
            <v>0.66</v>
          </cell>
          <cell r="X88" t="str">
            <v>Alta - 80%</v>
          </cell>
          <cell r="Y88" t="str">
            <v>4 Mayor</v>
          </cell>
        </row>
        <row r="89">
          <cell r="W89">
            <v>0.67</v>
          </cell>
          <cell r="X89" t="str">
            <v>Alta - 80%</v>
          </cell>
          <cell r="Y89" t="str">
            <v>4 Mayor</v>
          </cell>
        </row>
        <row r="90">
          <cell r="W90">
            <v>0.68</v>
          </cell>
          <cell r="X90" t="str">
            <v>Alta - 80%</v>
          </cell>
          <cell r="Y90" t="str">
            <v>4 Mayor</v>
          </cell>
        </row>
        <row r="91">
          <cell r="W91">
            <v>0.69</v>
          </cell>
          <cell r="X91" t="str">
            <v>Alta - 80%</v>
          </cell>
          <cell r="Y91" t="str">
            <v>4 Mayor</v>
          </cell>
        </row>
        <row r="92">
          <cell r="W92">
            <v>0.7</v>
          </cell>
          <cell r="X92" t="str">
            <v>Alta - 80%</v>
          </cell>
          <cell r="Y92" t="str">
            <v>4 Mayor</v>
          </cell>
        </row>
        <row r="93">
          <cell r="W93">
            <v>0.71</v>
          </cell>
          <cell r="X93" t="str">
            <v>Alta - 80%</v>
          </cell>
          <cell r="Y93" t="str">
            <v>4 Mayor</v>
          </cell>
        </row>
        <row r="94">
          <cell r="W94">
            <v>0.72</v>
          </cell>
          <cell r="X94" t="str">
            <v>Alta - 80%</v>
          </cell>
          <cell r="Y94" t="str">
            <v>4 Mayor</v>
          </cell>
        </row>
        <row r="95">
          <cell r="W95">
            <v>0.73</v>
          </cell>
          <cell r="X95" t="str">
            <v>Alta - 80%</v>
          </cell>
          <cell r="Y95" t="str">
            <v>4 Mayor</v>
          </cell>
        </row>
        <row r="96">
          <cell r="W96">
            <v>0.74</v>
          </cell>
          <cell r="X96" t="str">
            <v>Alta - 80%</v>
          </cell>
          <cell r="Y96" t="str">
            <v>4 Mayor</v>
          </cell>
        </row>
        <row r="97">
          <cell r="W97">
            <v>0.75</v>
          </cell>
          <cell r="X97" t="str">
            <v>Alta - 80%</v>
          </cell>
          <cell r="Y97" t="str">
            <v>4 Mayor</v>
          </cell>
        </row>
        <row r="98">
          <cell r="W98">
            <v>0.76</v>
          </cell>
          <cell r="X98" t="str">
            <v>Alta - 80%</v>
          </cell>
          <cell r="Y98" t="str">
            <v>4 Mayor</v>
          </cell>
        </row>
        <row r="99">
          <cell r="W99">
            <v>0.77</v>
          </cell>
          <cell r="X99" t="str">
            <v>Alta - 80%</v>
          </cell>
          <cell r="Y99" t="str">
            <v>4 Mayor</v>
          </cell>
        </row>
        <row r="100">
          <cell r="K100" t="str">
            <v>Zona de riesgo inicial</v>
          </cell>
          <cell r="L100" t="str">
            <v xml:space="preserve">Opción de manejo ó tratamiento 
</v>
          </cell>
          <cell r="W100">
            <v>0.78</v>
          </cell>
          <cell r="X100" t="str">
            <v>Alta - 80%</v>
          </cell>
          <cell r="Y100" t="str">
            <v>4 Mayor</v>
          </cell>
        </row>
        <row r="101">
          <cell r="K101"/>
          <cell r="L101"/>
          <cell r="W101">
            <v>0.79</v>
          </cell>
          <cell r="X101" t="str">
            <v>Alta - 80%</v>
          </cell>
          <cell r="Y101" t="str">
            <v>4 Mayor</v>
          </cell>
        </row>
        <row r="102">
          <cell r="K102" t="str">
            <v>1 - Zona de riesgo Baja</v>
          </cell>
          <cell r="L102" t="str">
            <v>Aceptar el riesgo</v>
          </cell>
          <cell r="W102">
            <v>0.8</v>
          </cell>
          <cell r="X102" t="str">
            <v>Alta - 80%</v>
          </cell>
          <cell r="Y102" t="str">
            <v>4 Mayor</v>
          </cell>
        </row>
        <row r="103">
          <cell r="K103" t="str">
            <v>2 - Zona de riesgo Baja</v>
          </cell>
          <cell r="L103" t="str">
            <v>Aceptar el riesgo</v>
          </cell>
          <cell r="W103">
            <v>0.81</v>
          </cell>
          <cell r="X103" t="str">
            <v>Muy Alta - 100%</v>
          </cell>
          <cell r="Y103" t="str">
            <v xml:space="preserve">5 Catastrófico </v>
          </cell>
        </row>
        <row r="104">
          <cell r="K104" t="str">
            <v>3 - Zona de riesgo Moderada</v>
          </cell>
          <cell r="L104" t="str">
            <v>Reducir el riesgo</v>
          </cell>
          <cell r="W104">
            <v>0.82</v>
          </cell>
          <cell r="X104" t="str">
            <v>Muy Alta - 100%</v>
          </cell>
          <cell r="Y104" t="str">
            <v xml:space="preserve">5 Catastrófico </v>
          </cell>
        </row>
        <row r="105">
          <cell r="K105" t="str">
            <v>4 - Zona de riesgo Alta</v>
          </cell>
          <cell r="L105" t="str">
            <v>Reducir el riesgo</v>
          </cell>
          <cell r="W105">
            <v>0.83</v>
          </cell>
          <cell r="X105" t="str">
            <v>Muy Alta - 100%</v>
          </cell>
          <cell r="Y105" t="str">
            <v xml:space="preserve">5 Catastrófico </v>
          </cell>
        </row>
        <row r="106">
          <cell r="K106" t="str">
            <v>5 - Zona de riesgo Extremo</v>
          </cell>
          <cell r="L106" t="str">
            <v>Evitar o compartir el riesgo</v>
          </cell>
          <cell r="W106">
            <v>0.84</v>
          </cell>
          <cell r="X106" t="str">
            <v>Muy Alta - 100%</v>
          </cell>
          <cell r="Y106" t="str">
            <v xml:space="preserve">5 Catastrófico </v>
          </cell>
        </row>
        <row r="107">
          <cell r="W107">
            <v>0.85</v>
          </cell>
          <cell r="X107" t="str">
            <v>Muy Alta - 100%</v>
          </cell>
          <cell r="Y107" t="str">
            <v xml:space="preserve">5 Catastrófico </v>
          </cell>
        </row>
        <row r="108">
          <cell r="W108">
            <v>0.86</v>
          </cell>
          <cell r="X108" t="str">
            <v>Muy Alta - 100%</v>
          </cell>
          <cell r="Y108" t="str">
            <v xml:space="preserve">5 Catastrófico </v>
          </cell>
        </row>
        <row r="109">
          <cell r="W109">
            <v>0.87</v>
          </cell>
          <cell r="X109" t="str">
            <v>Muy Alta - 100%</v>
          </cell>
          <cell r="Y109" t="str">
            <v xml:space="preserve">5 Catastrófico </v>
          </cell>
        </row>
        <row r="110">
          <cell r="K110" t="str">
            <v>Probabilidad Residual</v>
          </cell>
          <cell r="L110" t="str">
            <v>Imapcto Residual</v>
          </cell>
          <cell r="W110">
            <v>0.88</v>
          </cell>
          <cell r="X110" t="str">
            <v>Muy Alta - 100%</v>
          </cell>
          <cell r="Y110" t="str">
            <v xml:space="preserve">5 Catastrófico </v>
          </cell>
        </row>
        <row r="111">
          <cell r="W111">
            <v>0.89</v>
          </cell>
          <cell r="X111" t="str">
            <v>Muy Alta - 100%</v>
          </cell>
          <cell r="Y111" t="str">
            <v xml:space="preserve">5 Catastrófico </v>
          </cell>
        </row>
        <row r="112">
          <cell r="K112">
            <v>0.14450000000000002</v>
          </cell>
          <cell r="L112">
            <v>0.6</v>
          </cell>
          <cell r="W112">
            <v>0.9</v>
          </cell>
          <cell r="X112" t="str">
            <v>Muy Alta - 100%</v>
          </cell>
          <cell r="Y112" t="str">
            <v xml:space="preserve">5 Catastrófico </v>
          </cell>
        </row>
        <row r="113">
          <cell r="K113">
            <v>0.12282500000000002</v>
          </cell>
          <cell r="L113">
            <v>0.6</v>
          </cell>
          <cell r="W113">
            <v>0.91</v>
          </cell>
          <cell r="X113" t="str">
            <v>Muy Alta - 100%</v>
          </cell>
          <cell r="Y113" t="str">
            <v xml:space="preserve">5 Catastrófico </v>
          </cell>
        </row>
        <row r="114">
          <cell r="W114">
            <v>0.92</v>
          </cell>
          <cell r="X114" t="str">
            <v>Muy Alta - 100%</v>
          </cell>
          <cell r="Y114" t="str">
            <v xml:space="preserve">5 Catastrófico </v>
          </cell>
        </row>
        <row r="115">
          <cell r="W115">
            <v>0.93</v>
          </cell>
          <cell r="X115" t="str">
            <v>Muy Alta - 100%</v>
          </cell>
          <cell r="Y115" t="str">
            <v xml:space="preserve">5 Catastrófico </v>
          </cell>
        </row>
        <row r="116">
          <cell r="W116">
            <v>0.94</v>
          </cell>
          <cell r="X116" t="str">
            <v>Muy Alta - 100%</v>
          </cell>
          <cell r="Y116" t="str">
            <v xml:space="preserve">5 Catastrófico </v>
          </cell>
        </row>
        <row r="117">
          <cell r="W117">
            <v>0.95</v>
          </cell>
          <cell r="X117" t="str">
            <v>Muy Alta - 100%</v>
          </cell>
          <cell r="Y117" t="str">
            <v xml:space="preserve">5 Catastrófico </v>
          </cell>
        </row>
        <row r="118">
          <cell r="W118">
            <v>0.96</v>
          </cell>
          <cell r="X118" t="str">
            <v>Muy Alta - 100%</v>
          </cell>
          <cell r="Y118" t="str">
            <v xml:space="preserve">5 Catastrófico </v>
          </cell>
        </row>
        <row r="119">
          <cell r="W119">
            <v>0.97</v>
          </cell>
          <cell r="X119" t="str">
            <v>Muy Alta - 100%</v>
          </cell>
          <cell r="Y119" t="str">
            <v xml:space="preserve">5 Catastrófico </v>
          </cell>
        </row>
        <row r="120">
          <cell r="W120">
            <v>0.98</v>
          </cell>
          <cell r="X120" t="str">
            <v>Muy Alta - 100%</v>
          </cell>
          <cell r="Y120" t="str">
            <v xml:space="preserve">5 Catastrófico </v>
          </cell>
        </row>
        <row r="121">
          <cell r="W121">
            <v>0.99</v>
          </cell>
          <cell r="X121" t="str">
            <v>Muy Alta - 100%</v>
          </cell>
          <cell r="Y121" t="str">
            <v xml:space="preserve">5 Catastrófico </v>
          </cell>
        </row>
        <row r="122">
          <cell r="W122">
            <v>1</v>
          </cell>
          <cell r="X122" t="str">
            <v>Muy Alta - 100%</v>
          </cell>
          <cell r="Y122" t="str">
            <v xml:space="preserve">5 Catastrófico </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y Seguridad Digital"/>
      <sheetName val="Campo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y Seguridad Digital"/>
      <sheetName val="Campos"/>
    </sheetNames>
    <sheetDataSet>
      <sheetData sheetId="0">
        <row r="15">
          <cell r="AC15" t="e">
            <v>#N/A</v>
          </cell>
        </row>
        <row r="16">
          <cell r="AC16" t="e">
            <v>#N/A</v>
          </cell>
        </row>
        <row r="17">
          <cell r="AC17" t="e">
            <v>#N/A</v>
          </cell>
        </row>
      </sheetData>
      <sheetData sheetId="1">
        <row r="11">
          <cell r="H11" t="str">
            <v>Probabilidad</v>
          </cell>
          <cell r="I11"/>
          <cell r="J11" t="str">
            <v>Números aleatorios</v>
          </cell>
          <cell r="K11" t="str">
            <v>Valoración Impacto</v>
          </cell>
          <cell r="L11"/>
          <cell r="M11" t="str">
            <v>Código por combinación</v>
          </cell>
          <cell r="N11" t="str">
            <v>Zona de riesgo inicial</v>
          </cell>
          <cell r="O11"/>
          <cell r="P11"/>
          <cell r="Q11" t="str">
            <v xml:space="preserve">Opción de manejo ó tratamiento 
</v>
          </cell>
        </row>
        <row r="12">
          <cell r="H12"/>
          <cell r="I12"/>
          <cell r="J12"/>
          <cell r="K12"/>
          <cell r="L12"/>
          <cell r="M12"/>
          <cell r="N12"/>
          <cell r="O12"/>
          <cell r="P12"/>
          <cell r="Q12"/>
        </row>
        <row r="13">
          <cell r="H13" t="str">
            <v>1-Muy baja</v>
          </cell>
          <cell r="I13">
            <v>1</v>
          </cell>
          <cell r="J13">
            <v>30</v>
          </cell>
          <cell r="K13" t="str">
            <v>1 Leve</v>
          </cell>
          <cell r="L13">
            <v>1</v>
          </cell>
          <cell r="M13">
            <v>31</v>
          </cell>
          <cell r="N13" t="str">
            <v>1 - Zona de riesgo Baja</v>
          </cell>
          <cell r="O13"/>
          <cell r="P13"/>
          <cell r="Q13" t="str">
            <v>Aceptar el riesgo</v>
          </cell>
        </row>
        <row r="14">
          <cell r="H14" t="str">
            <v>1-Muy baja</v>
          </cell>
          <cell r="I14">
            <v>1</v>
          </cell>
          <cell r="J14">
            <v>30</v>
          </cell>
          <cell r="K14" t="str">
            <v>2 Menor</v>
          </cell>
          <cell r="L14">
            <v>2</v>
          </cell>
          <cell r="M14">
            <v>32</v>
          </cell>
          <cell r="N14" t="str">
            <v>2 - Zona de riesgo Baja</v>
          </cell>
          <cell r="O14"/>
          <cell r="P14"/>
          <cell r="Q14" t="str">
            <v>Aceptar el riesgo</v>
          </cell>
        </row>
        <row r="15">
          <cell r="H15" t="str">
            <v>1-Muy baja</v>
          </cell>
          <cell r="I15">
            <v>1</v>
          </cell>
          <cell r="J15">
            <v>30</v>
          </cell>
          <cell r="K15" t="str">
            <v>3 Moderado</v>
          </cell>
          <cell r="L15">
            <v>3</v>
          </cell>
          <cell r="M15">
            <v>33</v>
          </cell>
          <cell r="N15" t="str">
            <v>3 - Zona de riesgo Moderada</v>
          </cell>
          <cell r="O15"/>
          <cell r="P15"/>
          <cell r="Q15" t="str">
            <v>Reducir el riesgo</v>
          </cell>
        </row>
        <row r="16">
          <cell r="H16" t="str">
            <v>1-Muy baja</v>
          </cell>
          <cell r="I16">
            <v>1</v>
          </cell>
          <cell r="J16">
            <v>30</v>
          </cell>
          <cell r="K16" t="str">
            <v>4 Mayor</v>
          </cell>
          <cell r="L16">
            <v>4</v>
          </cell>
          <cell r="M16">
            <v>34</v>
          </cell>
          <cell r="N16" t="str">
            <v>4 - Zona de riesgo Alta</v>
          </cell>
          <cell r="O16"/>
          <cell r="P16"/>
          <cell r="Q16" t="str">
            <v>Reducir el riesgo</v>
          </cell>
        </row>
        <row r="17">
          <cell r="H17" t="str">
            <v>1-Muy baja</v>
          </cell>
          <cell r="I17">
            <v>1</v>
          </cell>
          <cell r="J17">
            <v>30</v>
          </cell>
          <cell r="K17" t="str">
            <v xml:space="preserve">5 Catastrófico </v>
          </cell>
          <cell r="L17">
            <v>5</v>
          </cell>
          <cell r="M17">
            <v>35</v>
          </cell>
          <cell r="N17" t="str">
            <v>5 - Zona de riesgo Extremo</v>
          </cell>
          <cell r="O17"/>
          <cell r="P17"/>
          <cell r="Q17" t="str">
            <v>Evitar o compartir el riesgo</v>
          </cell>
        </row>
        <row r="18">
          <cell r="H18" t="str">
            <v>2- Baja</v>
          </cell>
          <cell r="I18">
            <v>2</v>
          </cell>
          <cell r="J18">
            <v>42</v>
          </cell>
          <cell r="K18" t="str">
            <v>1 Insignificante</v>
          </cell>
          <cell r="L18">
            <v>1</v>
          </cell>
          <cell r="M18">
            <v>43</v>
          </cell>
          <cell r="N18" t="str">
            <v>1 - Zona de riesgo Baja</v>
          </cell>
          <cell r="O18"/>
          <cell r="P18"/>
          <cell r="Q18" t="str">
            <v>Aceptar el riesgo</v>
          </cell>
        </row>
        <row r="19">
          <cell r="H19" t="str">
            <v>2- Baja</v>
          </cell>
          <cell r="I19">
            <v>2</v>
          </cell>
          <cell r="J19">
            <v>42</v>
          </cell>
          <cell r="K19" t="str">
            <v>2 Menor</v>
          </cell>
          <cell r="L19">
            <v>2</v>
          </cell>
          <cell r="M19">
            <v>44</v>
          </cell>
          <cell r="N19" t="str">
            <v>2 - Zona de riesgo Moderada</v>
          </cell>
          <cell r="O19"/>
          <cell r="P19"/>
          <cell r="Q19" t="str">
            <v>Reducir el riesgo</v>
          </cell>
        </row>
        <row r="20">
          <cell r="H20" t="str">
            <v>2- Baja</v>
          </cell>
          <cell r="I20">
            <v>2</v>
          </cell>
          <cell r="J20">
            <v>42</v>
          </cell>
          <cell r="K20" t="str">
            <v>3 Moderado</v>
          </cell>
          <cell r="L20">
            <v>3</v>
          </cell>
          <cell r="M20">
            <v>45</v>
          </cell>
          <cell r="N20" t="str">
            <v>3 - Zona de riesgo Moderada</v>
          </cell>
          <cell r="O20"/>
          <cell r="P20"/>
          <cell r="Q20" t="str">
            <v>Reducir el riesgo</v>
          </cell>
        </row>
        <row r="21">
          <cell r="H21" t="str">
            <v>2- Baja</v>
          </cell>
          <cell r="I21">
            <v>2</v>
          </cell>
          <cell r="J21">
            <v>42</v>
          </cell>
          <cell r="K21" t="str">
            <v>4 Mayor</v>
          </cell>
          <cell r="L21">
            <v>4</v>
          </cell>
          <cell r="M21">
            <v>46</v>
          </cell>
          <cell r="N21" t="str">
            <v>4 - Zona de riesgo Alta</v>
          </cell>
          <cell r="O21"/>
          <cell r="P21"/>
          <cell r="Q21" t="str">
            <v>Reducir el riesgo</v>
          </cell>
        </row>
        <row r="22">
          <cell r="H22" t="str">
            <v>2- Baja</v>
          </cell>
          <cell r="I22">
            <v>2</v>
          </cell>
          <cell r="J22">
            <v>42</v>
          </cell>
          <cell r="K22" t="str">
            <v xml:space="preserve">5 Catastrófico </v>
          </cell>
          <cell r="L22">
            <v>5</v>
          </cell>
          <cell r="M22">
            <v>47</v>
          </cell>
          <cell r="N22" t="str">
            <v>5 - Zona de riesgo Extremo</v>
          </cell>
          <cell r="O22"/>
          <cell r="P22"/>
          <cell r="Q22" t="str">
            <v>Evitar o compartir el riesgo</v>
          </cell>
          <cell r="X22" t="str">
            <v>Probabilidad</v>
          </cell>
        </row>
        <row r="23">
          <cell r="H23" t="str">
            <v>3- Media</v>
          </cell>
          <cell r="I23">
            <v>3</v>
          </cell>
          <cell r="J23">
            <v>52</v>
          </cell>
          <cell r="K23" t="str">
            <v>1 Leve</v>
          </cell>
          <cell r="L23">
            <v>1</v>
          </cell>
          <cell r="M23">
            <v>53</v>
          </cell>
          <cell r="N23" t="str">
            <v>1 - Zona de riesgo Moderada</v>
          </cell>
          <cell r="O23"/>
          <cell r="P23"/>
          <cell r="Q23" t="str">
            <v>Reducir el riesgo</v>
          </cell>
          <cell r="W23">
            <v>0.01</v>
          </cell>
          <cell r="X23"/>
        </row>
        <row r="24">
          <cell r="H24" t="str">
            <v>3- Media</v>
          </cell>
          <cell r="I24">
            <v>3</v>
          </cell>
          <cell r="J24">
            <v>52</v>
          </cell>
          <cell r="K24" t="str">
            <v>2 Menor</v>
          </cell>
          <cell r="L24">
            <v>2</v>
          </cell>
          <cell r="M24">
            <v>54</v>
          </cell>
          <cell r="N24" t="str">
            <v>2 - Zona de riesgo Moderada</v>
          </cell>
          <cell r="O24"/>
          <cell r="P24"/>
          <cell r="Q24" t="str">
            <v>Reducir el riesgo</v>
          </cell>
          <cell r="W24">
            <v>0.02</v>
          </cell>
          <cell r="X24" t="str">
            <v>Muy Baja - 20%</v>
          </cell>
          <cell r="Y24" t="str">
            <v>1 Leve</v>
          </cell>
        </row>
        <row r="25">
          <cell r="H25" t="str">
            <v>3- Media</v>
          </cell>
          <cell r="I25">
            <v>3</v>
          </cell>
          <cell r="J25">
            <v>52</v>
          </cell>
          <cell r="K25" t="str">
            <v>3 Moderado</v>
          </cell>
          <cell r="L25">
            <v>3</v>
          </cell>
          <cell r="M25">
            <v>55</v>
          </cell>
          <cell r="N25" t="str">
            <v>3 - Zona de riesgo Moderada</v>
          </cell>
          <cell r="O25"/>
          <cell r="P25"/>
          <cell r="Q25" t="str">
            <v>Reducir el riesgo</v>
          </cell>
          <cell r="W25">
            <v>0.03</v>
          </cell>
          <cell r="X25" t="str">
            <v>Muy Baja - 20%</v>
          </cell>
          <cell r="Y25" t="str">
            <v>1 Leve</v>
          </cell>
        </row>
        <row r="26">
          <cell r="H26" t="str">
            <v>3- Media</v>
          </cell>
          <cell r="I26">
            <v>3</v>
          </cell>
          <cell r="J26">
            <v>52</v>
          </cell>
          <cell r="K26" t="str">
            <v>4 Mayor</v>
          </cell>
          <cell r="L26">
            <v>4</v>
          </cell>
          <cell r="M26">
            <v>56</v>
          </cell>
          <cell r="N26" t="str">
            <v>4 - Zona de riesgo Alta</v>
          </cell>
          <cell r="O26"/>
          <cell r="P26"/>
          <cell r="Q26" t="str">
            <v>Reducir el riesgo</v>
          </cell>
          <cell r="W26">
            <v>0.04</v>
          </cell>
          <cell r="X26" t="str">
            <v>Muy Baja - 20%</v>
          </cell>
          <cell r="Y26" t="str">
            <v>1 Leve</v>
          </cell>
        </row>
        <row r="27">
          <cell r="H27" t="str">
            <v>3- Media</v>
          </cell>
          <cell r="I27">
            <v>3</v>
          </cell>
          <cell r="J27">
            <v>52</v>
          </cell>
          <cell r="K27" t="str">
            <v xml:space="preserve">5 Catastrófico </v>
          </cell>
          <cell r="L27">
            <v>5</v>
          </cell>
          <cell r="M27">
            <v>57</v>
          </cell>
          <cell r="N27" t="str">
            <v>5 - Zona de riesgo Extremo</v>
          </cell>
          <cell r="O27"/>
          <cell r="P27"/>
          <cell r="Q27" t="str">
            <v>Evitar o compartir el riesgo</v>
          </cell>
          <cell r="W27">
            <v>0.05</v>
          </cell>
          <cell r="X27" t="str">
            <v>Muy Baja - 20%</v>
          </cell>
          <cell r="Y27" t="str">
            <v>1 Leve</v>
          </cell>
        </row>
        <row r="28">
          <cell r="H28" t="str">
            <v>4- Alta</v>
          </cell>
          <cell r="I28">
            <v>4</v>
          </cell>
          <cell r="J28">
            <v>63</v>
          </cell>
          <cell r="K28" t="str">
            <v>1 Leve</v>
          </cell>
          <cell r="L28">
            <v>1</v>
          </cell>
          <cell r="M28">
            <v>64</v>
          </cell>
          <cell r="N28" t="str">
            <v>1 - Zona de riesgo Moderada</v>
          </cell>
          <cell r="O28"/>
          <cell r="P28"/>
          <cell r="Q28" t="str">
            <v>Reducir el riesgo</v>
          </cell>
          <cell r="W28">
            <v>0.06</v>
          </cell>
          <cell r="X28" t="str">
            <v>Muy Baja - 20%</v>
          </cell>
          <cell r="Y28" t="str">
            <v>1 Leve</v>
          </cell>
        </row>
        <row r="29">
          <cell r="H29" t="str">
            <v>4- Alta</v>
          </cell>
          <cell r="I29">
            <v>4</v>
          </cell>
          <cell r="J29">
            <v>63</v>
          </cell>
          <cell r="K29" t="str">
            <v>2 Menor</v>
          </cell>
          <cell r="L29">
            <v>2</v>
          </cell>
          <cell r="M29">
            <v>65</v>
          </cell>
          <cell r="N29" t="str">
            <v>2 - Zona de riesgo Moderada</v>
          </cell>
          <cell r="O29"/>
          <cell r="P29"/>
          <cell r="Q29" t="str">
            <v>Reducir el riesgo</v>
          </cell>
          <cell r="W29">
            <v>7.0000000000000007E-2</v>
          </cell>
          <cell r="X29" t="str">
            <v>Muy Baja - 20%</v>
          </cell>
          <cell r="Y29" t="str">
            <v>1 Leve</v>
          </cell>
        </row>
        <row r="30">
          <cell r="H30" t="str">
            <v>4- Alta</v>
          </cell>
          <cell r="I30">
            <v>4</v>
          </cell>
          <cell r="J30">
            <v>63</v>
          </cell>
          <cell r="K30" t="str">
            <v>3 Moderado</v>
          </cell>
          <cell r="L30">
            <v>3</v>
          </cell>
          <cell r="M30">
            <v>66</v>
          </cell>
          <cell r="N30" t="str">
            <v>3 - Zona de riesgo Alta</v>
          </cell>
          <cell r="O30"/>
          <cell r="P30"/>
          <cell r="Q30" t="str">
            <v>Reducir el riesgo</v>
          </cell>
          <cell r="W30">
            <v>0.08</v>
          </cell>
          <cell r="X30" t="str">
            <v>Muy Baja - 20%</v>
          </cell>
          <cell r="Y30" t="str">
            <v>1 Leve</v>
          </cell>
        </row>
        <row r="31">
          <cell r="H31" t="str">
            <v>4- Alta</v>
          </cell>
          <cell r="I31">
            <v>4</v>
          </cell>
          <cell r="J31">
            <v>63</v>
          </cell>
          <cell r="K31" t="str">
            <v>4 Mayor</v>
          </cell>
          <cell r="L31">
            <v>4</v>
          </cell>
          <cell r="M31">
            <v>67</v>
          </cell>
          <cell r="N31" t="str">
            <v>4 - Zona de riesgo Alta</v>
          </cell>
          <cell r="O31"/>
          <cell r="P31"/>
          <cell r="Q31" t="str">
            <v>Reducir el riesgo</v>
          </cell>
          <cell r="W31">
            <v>0.09</v>
          </cell>
          <cell r="X31" t="str">
            <v>Muy Baja - 20%</v>
          </cell>
          <cell r="Y31" t="str">
            <v>1 Leve</v>
          </cell>
        </row>
        <row r="32">
          <cell r="H32" t="str">
            <v>4- Alta</v>
          </cell>
          <cell r="I32">
            <v>4</v>
          </cell>
          <cell r="J32">
            <v>63</v>
          </cell>
          <cell r="K32" t="str">
            <v xml:space="preserve">5 Catastrófico </v>
          </cell>
          <cell r="L32">
            <v>5</v>
          </cell>
          <cell r="M32">
            <v>68</v>
          </cell>
          <cell r="N32" t="str">
            <v>5 - Zona de riesgo Extremo</v>
          </cell>
          <cell r="O32"/>
          <cell r="P32"/>
          <cell r="Q32" t="str">
            <v>Evitar o compartir el riesgo</v>
          </cell>
          <cell r="S32" t="str">
            <v>Valoración Impacto</v>
          </cell>
          <cell r="T32" t="str">
            <v>%</v>
          </cell>
          <cell r="W32">
            <v>0.1</v>
          </cell>
          <cell r="X32" t="str">
            <v>Muy Baja - 20%</v>
          </cell>
          <cell r="Y32" t="str">
            <v>1 Leve</v>
          </cell>
        </row>
        <row r="33">
          <cell r="H33" t="str">
            <v>5 - Muy Alta</v>
          </cell>
          <cell r="I33">
            <v>5</v>
          </cell>
          <cell r="J33">
            <v>74</v>
          </cell>
          <cell r="K33" t="str">
            <v>1 Leve</v>
          </cell>
          <cell r="L33">
            <v>1</v>
          </cell>
          <cell r="M33">
            <v>75</v>
          </cell>
          <cell r="N33" t="str">
            <v>1 - Zona de riesgo Alta</v>
          </cell>
          <cell r="O33"/>
          <cell r="P33"/>
          <cell r="Q33" t="str">
            <v>Reducir el riesgo</v>
          </cell>
          <cell r="S33"/>
          <cell r="T33"/>
          <cell r="W33">
            <v>0.11</v>
          </cell>
          <cell r="X33" t="str">
            <v>Muy Baja - 20%</v>
          </cell>
          <cell r="Y33" t="str">
            <v>1 Leve</v>
          </cell>
        </row>
        <row r="34">
          <cell r="H34" t="str">
            <v>6 - Muy Alta</v>
          </cell>
          <cell r="I34">
            <v>5</v>
          </cell>
          <cell r="J34">
            <v>74</v>
          </cell>
          <cell r="K34" t="str">
            <v>2 Menor</v>
          </cell>
          <cell r="L34">
            <v>2</v>
          </cell>
          <cell r="M34">
            <v>76</v>
          </cell>
          <cell r="N34" t="str">
            <v>2 - Zona de riesgo Alta</v>
          </cell>
          <cell r="O34"/>
          <cell r="P34"/>
          <cell r="Q34" t="str">
            <v>Reducir el riesgo</v>
          </cell>
          <cell r="S34" t="str">
            <v>1 Leve</v>
          </cell>
          <cell r="T34">
            <v>0.2</v>
          </cell>
          <cell r="W34">
            <v>0.12</v>
          </cell>
          <cell r="X34" t="str">
            <v>Muy Baja - 20%</v>
          </cell>
          <cell r="Y34" t="str">
            <v>1 Leve</v>
          </cell>
        </row>
        <row r="35">
          <cell r="H35" t="str">
            <v>7 - Muy Alta</v>
          </cell>
          <cell r="I35">
            <v>5</v>
          </cell>
          <cell r="J35">
            <v>74</v>
          </cell>
          <cell r="K35" t="str">
            <v>3 Moderado</v>
          </cell>
          <cell r="L35">
            <v>3</v>
          </cell>
          <cell r="M35">
            <v>77</v>
          </cell>
          <cell r="N35" t="str">
            <v>3 - Zona de riesgo Alta</v>
          </cell>
          <cell r="O35"/>
          <cell r="P35"/>
          <cell r="Q35" t="str">
            <v>Reducir el riesgo</v>
          </cell>
          <cell r="S35" t="str">
            <v>2 Menor</v>
          </cell>
          <cell r="T35">
            <v>0.4</v>
          </cell>
          <cell r="W35">
            <v>0.13</v>
          </cell>
          <cell r="X35" t="str">
            <v>Muy Baja - 20%</v>
          </cell>
          <cell r="Y35" t="str">
            <v>1 Leve</v>
          </cell>
        </row>
        <row r="36">
          <cell r="H36" t="str">
            <v>8 - Muy Alta</v>
          </cell>
          <cell r="I36">
            <v>5</v>
          </cell>
          <cell r="J36">
            <v>74</v>
          </cell>
          <cell r="K36" t="str">
            <v>4 Mayor</v>
          </cell>
          <cell r="L36">
            <v>4</v>
          </cell>
          <cell r="M36">
            <v>78</v>
          </cell>
          <cell r="N36" t="str">
            <v>4 - Zona de riesgo Alta</v>
          </cell>
          <cell r="O36"/>
          <cell r="P36"/>
          <cell r="Q36" t="str">
            <v>Reducir el riesgo</v>
          </cell>
          <cell r="S36" t="str">
            <v>3 Moderado</v>
          </cell>
          <cell r="T36">
            <v>0.6</v>
          </cell>
          <cell r="W36">
            <v>0.14000000000000001</v>
          </cell>
          <cell r="X36" t="str">
            <v>Muy Baja - 20%</v>
          </cell>
          <cell r="Y36" t="str">
            <v>1 Leve</v>
          </cell>
        </row>
        <row r="37">
          <cell r="H37" t="str">
            <v>9 - Muy Alta</v>
          </cell>
          <cell r="I37">
            <v>5</v>
          </cell>
          <cell r="J37">
            <v>74</v>
          </cell>
          <cell r="K37" t="str">
            <v xml:space="preserve">5 Catastrófico </v>
          </cell>
          <cell r="L37">
            <v>5</v>
          </cell>
          <cell r="M37">
            <v>79</v>
          </cell>
          <cell r="N37" t="str">
            <v>5 - Zona de riesgo Extremo</v>
          </cell>
          <cell r="O37"/>
          <cell r="P37"/>
          <cell r="Q37" t="str">
            <v>Evitar o compartir el riesgo</v>
          </cell>
          <cell r="S37" t="str">
            <v>4 Mayor</v>
          </cell>
          <cell r="T37">
            <v>0.8</v>
          </cell>
          <cell r="W37">
            <v>0.15</v>
          </cell>
          <cell r="X37" t="str">
            <v>Muy Baja - 20%</v>
          </cell>
          <cell r="Y37" t="str">
            <v>1 Leve</v>
          </cell>
        </row>
        <row r="38">
          <cell r="S38" t="str">
            <v xml:space="preserve">5 Catastrófico </v>
          </cell>
          <cell r="T38">
            <v>1</v>
          </cell>
          <cell r="W38">
            <v>0.16</v>
          </cell>
          <cell r="X38" t="str">
            <v>Muy Baja - 20%</v>
          </cell>
          <cell r="Y38" t="str">
            <v>1 Leve</v>
          </cell>
        </row>
        <row r="39">
          <cell r="W39">
            <v>0.17</v>
          </cell>
          <cell r="X39" t="str">
            <v>Muy Baja - 20%</v>
          </cell>
          <cell r="Y39" t="str">
            <v>1 Leve</v>
          </cell>
        </row>
        <row r="40">
          <cell r="W40">
            <v>0.18</v>
          </cell>
          <cell r="X40" t="str">
            <v>Muy Baja - 20%</v>
          </cell>
          <cell r="Y40" t="str">
            <v>1 Leve</v>
          </cell>
        </row>
        <row r="41">
          <cell r="W41">
            <v>0.19</v>
          </cell>
          <cell r="X41" t="str">
            <v>Muy Baja - 20%</v>
          </cell>
          <cell r="Y41" t="str">
            <v>1 Leve</v>
          </cell>
        </row>
        <row r="42">
          <cell r="W42">
            <v>0.2</v>
          </cell>
          <cell r="X42" t="str">
            <v>Muy Baja - 20%</v>
          </cell>
          <cell r="Y42" t="str">
            <v>1 Leve</v>
          </cell>
        </row>
        <row r="43">
          <cell r="W43">
            <v>0.21</v>
          </cell>
          <cell r="X43" t="str">
            <v>Baja - 40%</v>
          </cell>
          <cell r="Y43" t="str">
            <v>2 Menor</v>
          </cell>
        </row>
        <row r="44">
          <cell r="W44">
            <v>0.22</v>
          </cell>
          <cell r="X44" t="str">
            <v>Baja - 40%</v>
          </cell>
          <cell r="Y44" t="str">
            <v>2 Menor</v>
          </cell>
        </row>
        <row r="45">
          <cell r="W45">
            <v>0.23</v>
          </cell>
          <cell r="X45" t="str">
            <v>Baja - 40%</v>
          </cell>
          <cell r="Y45" t="str">
            <v>2 Menor</v>
          </cell>
        </row>
        <row r="46">
          <cell r="W46">
            <v>0.24</v>
          </cell>
          <cell r="X46" t="str">
            <v>Baja - 40%</v>
          </cell>
          <cell r="Y46" t="str">
            <v>2 Menor</v>
          </cell>
        </row>
        <row r="47">
          <cell r="W47">
            <v>0.25</v>
          </cell>
          <cell r="X47" t="str">
            <v>Baja - 40%</v>
          </cell>
          <cell r="Y47" t="str">
            <v>2 Menor</v>
          </cell>
        </row>
        <row r="48">
          <cell r="W48">
            <v>0.26</v>
          </cell>
          <cell r="X48" t="str">
            <v>Baja - 40%</v>
          </cell>
          <cell r="Y48" t="str">
            <v>2 Menor</v>
          </cell>
        </row>
        <row r="49">
          <cell r="W49">
            <v>0.27</v>
          </cell>
          <cell r="X49" t="str">
            <v>Baja - 40%</v>
          </cell>
          <cell r="Y49" t="str">
            <v>2 Menor</v>
          </cell>
        </row>
        <row r="50">
          <cell r="W50">
            <v>0.28000000000000003</v>
          </cell>
          <cell r="X50" t="str">
            <v>Baja - 40%</v>
          </cell>
          <cell r="Y50" t="str">
            <v>2 Menor</v>
          </cell>
        </row>
        <row r="51">
          <cell r="W51">
            <v>0.28999999999999998</v>
          </cell>
          <cell r="X51" t="str">
            <v>Baja - 40%</v>
          </cell>
          <cell r="Y51" t="str">
            <v>2 Menor</v>
          </cell>
        </row>
        <row r="52">
          <cell r="W52">
            <v>0.3</v>
          </cell>
          <cell r="X52" t="str">
            <v>Baja - 40%</v>
          </cell>
          <cell r="Y52" t="str">
            <v>2 Menor</v>
          </cell>
        </row>
        <row r="53">
          <cell r="W53">
            <v>0.31</v>
          </cell>
          <cell r="X53" t="str">
            <v>Baja - 40%</v>
          </cell>
          <cell r="Y53" t="str">
            <v>2 Menor</v>
          </cell>
        </row>
        <row r="54">
          <cell r="W54">
            <v>0.32</v>
          </cell>
          <cell r="X54" t="str">
            <v>Baja - 40%</v>
          </cell>
          <cell r="Y54" t="str">
            <v>2 Menor</v>
          </cell>
        </row>
        <row r="55">
          <cell r="W55">
            <v>0.33</v>
          </cell>
          <cell r="X55" t="str">
            <v>Baja - 40%</v>
          </cell>
          <cell r="Y55" t="str">
            <v>2 Menor</v>
          </cell>
        </row>
        <row r="56">
          <cell r="W56">
            <v>0.34</v>
          </cell>
          <cell r="X56" t="str">
            <v>Baja - 40%</v>
          </cell>
          <cell r="Y56" t="str">
            <v>2 Menor</v>
          </cell>
        </row>
        <row r="57">
          <cell r="W57">
            <v>0.35</v>
          </cell>
          <cell r="X57" t="str">
            <v>Baja - 40%</v>
          </cell>
          <cell r="Y57" t="str">
            <v>2 Menor</v>
          </cell>
        </row>
        <row r="58">
          <cell r="W58">
            <v>0.36</v>
          </cell>
          <cell r="X58" t="str">
            <v>Baja - 40%</v>
          </cell>
          <cell r="Y58" t="str">
            <v>2 Menor</v>
          </cell>
        </row>
        <row r="59">
          <cell r="W59">
            <v>0.37</v>
          </cell>
          <cell r="X59" t="str">
            <v>Baja - 40%</v>
          </cell>
          <cell r="Y59" t="str">
            <v>2 Menor</v>
          </cell>
        </row>
        <row r="60">
          <cell r="W60">
            <v>0.38</v>
          </cell>
          <cell r="X60" t="str">
            <v>Baja - 40%</v>
          </cell>
          <cell r="Y60" t="str">
            <v>2 Menor</v>
          </cell>
        </row>
        <row r="61">
          <cell r="W61">
            <v>0.39</v>
          </cell>
          <cell r="X61" t="str">
            <v>Baja - 40%</v>
          </cell>
          <cell r="Y61" t="str">
            <v>2 Menor</v>
          </cell>
        </row>
        <row r="62">
          <cell r="W62">
            <v>0.4</v>
          </cell>
          <cell r="X62" t="str">
            <v>Baja - 40%</v>
          </cell>
          <cell r="Y62" t="str">
            <v>2 Menor</v>
          </cell>
        </row>
        <row r="63">
          <cell r="W63">
            <v>0.41</v>
          </cell>
          <cell r="X63" t="str">
            <v>Media - 60%</v>
          </cell>
          <cell r="Y63" t="str">
            <v>3 Moderado</v>
          </cell>
        </row>
        <row r="64">
          <cell r="W64">
            <v>0.42</v>
          </cell>
          <cell r="X64" t="str">
            <v>Media - 60%</v>
          </cell>
          <cell r="Y64" t="str">
            <v>3 Moderado</v>
          </cell>
        </row>
        <row r="65">
          <cell r="W65">
            <v>0.43</v>
          </cell>
          <cell r="X65" t="str">
            <v>Media - 60%</v>
          </cell>
          <cell r="Y65" t="str">
            <v>3 Moderado</v>
          </cell>
        </row>
        <row r="66">
          <cell r="D66" t="str">
            <v>Automático</v>
          </cell>
          <cell r="E66">
            <v>0.25</v>
          </cell>
          <cell r="W66">
            <v>0.44</v>
          </cell>
          <cell r="X66" t="str">
            <v>Media - 60%</v>
          </cell>
          <cell r="Y66" t="str">
            <v>3 Moderado</v>
          </cell>
        </row>
        <row r="67">
          <cell r="D67" t="str">
            <v>Manual</v>
          </cell>
          <cell r="E67">
            <v>0.15</v>
          </cell>
          <cell r="W67">
            <v>0.45</v>
          </cell>
          <cell r="X67" t="str">
            <v>Media - 60%</v>
          </cell>
          <cell r="Y67" t="str">
            <v>3 Moderado</v>
          </cell>
        </row>
        <row r="68">
          <cell r="W68">
            <v>0.46</v>
          </cell>
          <cell r="X68" t="str">
            <v>Media - 60%</v>
          </cell>
          <cell r="Y68" t="str">
            <v>3 Moderado</v>
          </cell>
        </row>
        <row r="69">
          <cell r="W69">
            <v>0.47</v>
          </cell>
          <cell r="X69" t="str">
            <v>Media - 60%</v>
          </cell>
          <cell r="Y69" t="str">
            <v>3 Moderado</v>
          </cell>
        </row>
        <row r="70">
          <cell r="W70">
            <v>0.48</v>
          </cell>
          <cell r="X70" t="str">
            <v>Media - 60%</v>
          </cell>
          <cell r="Y70" t="str">
            <v>3 Moderado</v>
          </cell>
        </row>
        <row r="71">
          <cell r="W71">
            <v>0.49</v>
          </cell>
          <cell r="X71" t="str">
            <v>Media - 60%</v>
          </cell>
          <cell r="Y71" t="str">
            <v>3 Moderado</v>
          </cell>
        </row>
        <row r="72">
          <cell r="W72">
            <v>0.5</v>
          </cell>
          <cell r="X72" t="str">
            <v>Media - 60%</v>
          </cell>
          <cell r="Y72" t="str">
            <v>3 Moderado</v>
          </cell>
        </row>
        <row r="73">
          <cell r="W73">
            <v>0.51</v>
          </cell>
          <cell r="X73" t="str">
            <v>Media - 60%</v>
          </cell>
          <cell r="Y73" t="str">
            <v>3 Moderado</v>
          </cell>
        </row>
        <row r="74">
          <cell r="W74">
            <v>0.52</v>
          </cell>
          <cell r="X74" t="str">
            <v>Media - 60%</v>
          </cell>
          <cell r="Y74" t="str">
            <v>3 Moderado</v>
          </cell>
        </row>
        <row r="75">
          <cell r="W75">
            <v>0.53</v>
          </cell>
          <cell r="X75" t="str">
            <v>Media - 60%</v>
          </cell>
          <cell r="Y75" t="str">
            <v>3 Moderado</v>
          </cell>
        </row>
        <row r="76">
          <cell r="W76">
            <v>0.54</v>
          </cell>
          <cell r="X76" t="str">
            <v>Media - 60%</v>
          </cell>
          <cell r="Y76" t="str">
            <v>3 Moderado</v>
          </cell>
        </row>
        <row r="77">
          <cell r="W77">
            <v>0.55000000000000004</v>
          </cell>
          <cell r="X77" t="str">
            <v>Media - 60%</v>
          </cell>
          <cell r="Y77" t="str">
            <v>3 Moderado</v>
          </cell>
        </row>
        <row r="78">
          <cell r="W78">
            <v>0.56000000000000005</v>
          </cell>
          <cell r="X78" t="str">
            <v>Media - 60%</v>
          </cell>
          <cell r="Y78" t="str">
            <v>3 Moderado</v>
          </cell>
        </row>
        <row r="79">
          <cell r="W79">
            <v>0.56999999999999995</v>
          </cell>
          <cell r="X79" t="str">
            <v>Media - 60%</v>
          </cell>
          <cell r="Y79" t="str">
            <v>3 Moderado</v>
          </cell>
        </row>
        <row r="80">
          <cell r="W80">
            <v>0.57999999999999996</v>
          </cell>
          <cell r="X80" t="str">
            <v>Media - 60%</v>
          </cell>
          <cell r="Y80" t="str">
            <v>3 Moderado</v>
          </cell>
        </row>
        <row r="81">
          <cell r="W81">
            <v>0.59</v>
          </cell>
          <cell r="X81" t="str">
            <v>Media - 60%</v>
          </cell>
          <cell r="Y81" t="str">
            <v>3 Moderado</v>
          </cell>
        </row>
        <row r="82">
          <cell r="W82">
            <v>0.6</v>
          </cell>
          <cell r="X82" t="str">
            <v>Media - 60%</v>
          </cell>
          <cell r="Y82" t="str">
            <v>3 Moderado</v>
          </cell>
        </row>
        <row r="83">
          <cell r="W83">
            <v>0.61</v>
          </cell>
          <cell r="X83" t="str">
            <v>Alta - 80%</v>
          </cell>
          <cell r="Y83" t="str">
            <v>4 Mayor</v>
          </cell>
        </row>
        <row r="84">
          <cell r="W84">
            <v>0.62</v>
          </cell>
          <cell r="X84" t="str">
            <v>Alta - 80%</v>
          </cell>
          <cell r="Y84" t="str">
            <v>4 Mayor</v>
          </cell>
        </row>
        <row r="85">
          <cell r="W85">
            <v>0.63</v>
          </cell>
          <cell r="X85" t="str">
            <v>Alta - 80%</v>
          </cell>
          <cell r="Y85" t="str">
            <v>4 Mayor</v>
          </cell>
        </row>
        <row r="86">
          <cell r="W86">
            <v>0.64</v>
          </cell>
          <cell r="X86" t="str">
            <v>Alta - 80%</v>
          </cell>
          <cell r="Y86" t="str">
            <v>4 Mayor</v>
          </cell>
        </row>
        <row r="87">
          <cell r="W87">
            <v>0.65</v>
          </cell>
          <cell r="X87" t="str">
            <v>Alta - 80%</v>
          </cell>
          <cell r="Y87" t="str">
            <v>4 Mayor</v>
          </cell>
        </row>
        <row r="88">
          <cell r="W88">
            <v>0.66</v>
          </cell>
          <cell r="X88" t="str">
            <v>Alta - 80%</v>
          </cell>
          <cell r="Y88" t="str">
            <v>4 Mayor</v>
          </cell>
        </row>
        <row r="89">
          <cell r="W89">
            <v>0.67</v>
          </cell>
          <cell r="X89" t="str">
            <v>Alta - 80%</v>
          </cell>
          <cell r="Y89" t="str">
            <v>4 Mayor</v>
          </cell>
        </row>
        <row r="90">
          <cell r="W90">
            <v>0.68</v>
          </cell>
          <cell r="X90" t="str">
            <v>Alta - 80%</v>
          </cell>
          <cell r="Y90" t="str">
            <v>4 Mayor</v>
          </cell>
        </row>
        <row r="91">
          <cell r="W91">
            <v>0.69</v>
          </cell>
          <cell r="X91" t="str">
            <v>Alta - 80%</v>
          </cell>
          <cell r="Y91" t="str">
            <v>4 Mayor</v>
          </cell>
        </row>
        <row r="92">
          <cell r="W92">
            <v>0.7</v>
          </cell>
          <cell r="X92" t="str">
            <v>Alta - 80%</v>
          </cell>
          <cell r="Y92" t="str">
            <v>4 Mayor</v>
          </cell>
        </row>
        <row r="93">
          <cell r="W93">
            <v>0.71</v>
          </cell>
          <cell r="X93" t="str">
            <v>Alta - 80%</v>
          </cell>
          <cell r="Y93" t="str">
            <v>4 Mayor</v>
          </cell>
        </row>
        <row r="94">
          <cell r="W94">
            <v>0.72</v>
          </cell>
          <cell r="X94" t="str">
            <v>Alta - 80%</v>
          </cell>
          <cell r="Y94" t="str">
            <v>4 Mayor</v>
          </cell>
        </row>
        <row r="95">
          <cell r="W95">
            <v>0.73</v>
          </cell>
          <cell r="X95" t="str">
            <v>Alta - 80%</v>
          </cell>
          <cell r="Y95" t="str">
            <v>4 Mayor</v>
          </cell>
        </row>
        <row r="96">
          <cell r="W96">
            <v>0.74</v>
          </cell>
          <cell r="X96" t="str">
            <v>Alta - 80%</v>
          </cell>
          <cell r="Y96" t="str">
            <v>4 Mayor</v>
          </cell>
        </row>
        <row r="97">
          <cell r="W97">
            <v>0.75</v>
          </cell>
          <cell r="X97" t="str">
            <v>Alta - 80%</v>
          </cell>
          <cell r="Y97" t="str">
            <v>4 Mayor</v>
          </cell>
        </row>
        <row r="98">
          <cell r="W98">
            <v>0.76</v>
          </cell>
          <cell r="X98" t="str">
            <v>Alta - 80%</v>
          </cell>
          <cell r="Y98" t="str">
            <v>4 Mayor</v>
          </cell>
        </row>
        <row r="99">
          <cell r="W99">
            <v>0.77</v>
          </cell>
          <cell r="X99" t="str">
            <v>Alta - 80%</v>
          </cell>
          <cell r="Y99" t="str">
            <v>4 Mayor</v>
          </cell>
        </row>
        <row r="100">
          <cell r="W100">
            <v>0.78</v>
          </cell>
          <cell r="X100" t="str">
            <v>Alta - 80%</v>
          </cell>
          <cell r="Y100" t="str">
            <v>4 Mayor</v>
          </cell>
        </row>
        <row r="101">
          <cell r="W101">
            <v>0.79</v>
          </cell>
          <cell r="X101" t="str">
            <v>Alta - 80%</v>
          </cell>
          <cell r="Y101" t="str">
            <v>4 Mayor</v>
          </cell>
        </row>
        <row r="102">
          <cell r="W102">
            <v>0.8</v>
          </cell>
          <cell r="X102" t="str">
            <v>Alta - 80%</v>
          </cell>
          <cell r="Y102" t="str">
            <v>4 Mayor</v>
          </cell>
        </row>
        <row r="103">
          <cell r="W103">
            <v>0.81</v>
          </cell>
          <cell r="X103" t="str">
            <v>Muy Alta - 100%</v>
          </cell>
          <cell r="Y103" t="str">
            <v xml:space="preserve">5 Catastrófico </v>
          </cell>
        </row>
        <row r="104">
          <cell r="W104">
            <v>0.82</v>
          </cell>
          <cell r="X104" t="str">
            <v>Muy Alta - 100%</v>
          </cell>
          <cell r="Y104" t="str">
            <v xml:space="preserve">5 Catastrófico </v>
          </cell>
        </row>
        <row r="105">
          <cell r="W105">
            <v>0.83</v>
          </cell>
          <cell r="X105" t="str">
            <v>Muy Alta - 100%</v>
          </cell>
          <cell r="Y105" t="str">
            <v xml:space="preserve">5 Catastrófico </v>
          </cell>
        </row>
        <row r="106">
          <cell r="W106">
            <v>0.84</v>
          </cell>
          <cell r="X106" t="str">
            <v>Muy Alta - 100%</v>
          </cell>
          <cell r="Y106" t="str">
            <v xml:space="preserve">5 Catastrófico </v>
          </cell>
        </row>
        <row r="107">
          <cell r="W107">
            <v>0.85</v>
          </cell>
          <cell r="X107" t="str">
            <v>Muy Alta - 100%</v>
          </cell>
          <cell r="Y107" t="str">
            <v xml:space="preserve">5 Catastrófico </v>
          </cell>
        </row>
        <row r="108">
          <cell r="W108">
            <v>0.86</v>
          </cell>
          <cell r="X108" t="str">
            <v>Muy Alta - 100%</v>
          </cell>
          <cell r="Y108" t="str">
            <v xml:space="preserve">5 Catastrófico </v>
          </cell>
        </row>
        <row r="109">
          <cell r="W109">
            <v>0.87</v>
          </cell>
          <cell r="X109" t="str">
            <v>Muy Alta - 100%</v>
          </cell>
          <cell r="Y109" t="str">
            <v xml:space="preserve">5 Catastrófico </v>
          </cell>
        </row>
        <row r="110">
          <cell r="W110">
            <v>0.88</v>
          </cell>
          <cell r="X110" t="str">
            <v>Muy Alta - 100%</v>
          </cell>
          <cell r="Y110" t="str">
            <v xml:space="preserve">5 Catastrófico </v>
          </cell>
        </row>
        <row r="111">
          <cell r="W111">
            <v>0.89</v>
          </cell>
          <cell r="X111" t="str">
            <v>Muy Alta - 100%</v>
          </cell>
          <cell r="Y111" t="str">
            <v xml:space="preserve">5 Catastrófico </v>
          </cell>
        </row>
        <row r="112">
          <cell r="W112">
            <v>0.9</v>
          </cell>
          <cell r="X112" t="str">
            <v>Muy Alta - 100%</v>
          </cell>
          <cell r="Y112" t="str">
            <v xml:space="preserve">5 Catastrófico </v>
          </cell>
        </row>
        <row r="113">
          <cell r="W113">
            <v>0.91</v>
          </cell>
          <cell r="X113" t="str">
            <v>Muy Alta - 100%</v>
          </cell>
          <cell r="Y113" t="str">
            <v xml:space="preserve">5 Catastrófico </v>
          </cell>
        </row>
        <row r="114">
          <cell r="W114">
            <v>0.92</v>
          </cell>
          <cell r="X114" t="str">
            <v>Muy Alta - 100%</v>
          </cell>
          <cell r="Y114" t="str">
            <v xml:space="preserve">5 Catastrófico </v>
          </cell>
        </row>
        <row r="115">
          <cell r="W115">
            <v>0.93</v>
          </cell>
          <cell r="X115" t="str">
            <v>Muy Alta - 100%</v>
          </cell>
          <cell r="Y115" t="str">
            <v xml:space="preserve">5 Catastrófico </v>
          </cell>
        </row>
        <row r="116">
          <cell r="W116">
            <v>0.94</v>
          </cell>
          <cell r="X116" t="str">
            <v>Muy Alta - 100%</v>
          </cell>
          <cell r="Y116" t="str">
            <v xml:space="preserve">5 Catastrófico </v>
          </cell>
        </row>
        <row r="117">
          <cell r="W117">
            <v>0.95</v>
          </cell>
          <cell r="X117" t="str">
            <v>Muy Alta - 100%</v>
          </cell>
          <cell r="Y117" t="str">
            <v xml:space="preserve">5 Catastrófico </v>
          </cell>
        </row>
        <row r="118">
          <cell r="W118">
            <v>0.96</v>
          </cell>
          <cell r="X118" t="str">
            <v>Muy Alta - 100%</v>
          </cell>
          <cell r="Y118" t="str">
            <v xml:space="preserve">5 Catastrófico </v>
          </cell>
        </row>
        <row r="119">
          <cell r="W119">
            <v>0.97</v>
          </cell>
          <cell r="X119" t="str">
            <v>Muy Alta - 100%</v>
          </cell>
          <cell r="Y119" t="str">
            <v xml:space="preserve">5 Catastrófico </v>
          </cell>
        </row>
        <row r="120">
          <cell r="W120">
            <v>0.98</v>
          </cell>
          <cell r="X120" t="str">
            <v>Muy Alta - 100%</v>
          </cell>
          <cell r="Y120" t="str">
            <v xml:space="preserve">5 Catastrófico </v>
          </cell>
        </row>
        <row r="121">
          <cell r="W121">
            <v>0.99</v>
          </cell>
          <cell r="X121" t="str">
            <v>Muy Alta - 100%</v>
          </cell>
          <cell r="Y121" t="str">
            <v xml:space="preserve">5 Catastrófico </v>
          </cell>
        </row>
        <row r="122">
          <cell r="W122">
            <v>1</v>
          </cell>
          <cell r="X122" t="str">
            <v>Muy Alta - 100%</v>
          </cell>
          <cell r="Y122" t="str">
            <v xml:space="preserve">5 Catastrófico </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y Seguridad Digital"/>
      <sheetName val="Campos"/>
      <sheetName val="RIESGO 1"/>
      <sheetName val="CONTROLES R1"/>
      <sheetName val="RIESGO 2"/>
      <sheetName val="CONTROLES 2"/>
    </sheetNames>
    <sheetDataSet>
      <sheetData sheetId="0">
        <row r="18">
          <cell r="AC18"/>
        </row>
        <row r="19">
          <cell r="AC19"/>
        </row>
        <row r="20">
          <cell r="AC20"/>
        </row>
      </sheetData>
      <sheetData sheetId="1">
        <row r="11">
          <cell r="H11" t="str">
            <v>Probabilidad</v>
          </cell>
          <cell r="I11"/>
          <cell r="J11" t="str">
            <v>Números aleatorios</v>
          </cell>
          <cell r="K11" t="str">
            <v>Valoración Impacto</v>
          </cell>
          <cell r="L11"/>
          <cell r="M11" t="str">
            <v>Código por combinación</v>
          </cell>
          <cell r="N11" t="str">
            <v>Zona de riesgo inicial</v>
          </cell>
          <cell r="O11"/>
          <cell r="P11"/>
          <cell r="Q11" t="str">
            <v xml:space="preserve">Opción de manejo ó tratamiento 
</v>
          </cell>
        </row>
        <row r="12">
          <cell r="H12"/>
          <cell r="I12"/>
          <cell r="J12"/>
          <cell r="K12"/>
          <cell r="L12"/>
          <cell r="M12"/>
          <cell r="N12"/>
          <cell r="O12"/>
          <cell r="P12"/>
          <cell r="Q12"/>
        </row>
        <row r="13">
          <cell r="H13" t="str">
            <v>1-Muy baja</v>
          </cell>
          <cell r="I13">
            <v>1</v>
          </cell>
          <cell r="J13">
            <v>30</v>
          </cell>
          <cell r="K13" t="str">
            <v>1 Leve</v>
          </cell>
          <cell r="L13">
            <v>1</v>
          </cell>
          <cell r="M13">
            <v>31</v>
          </cell>
          <cell r="N13" t="str">
            <v>1 - Zona de riesgo Baja</v>
          </cell>
          <cell r="O13"/>
          <cell r="P13"/>
          <cell r="Q13" t="str">
            <v>Aceptar el riesgo</v>
          </cell>
        </row>
        <row r="14">
          <cell r="H14" t="str">
            <v>1-Muy baja</v>
          </cell>
          <cell r="I14">
            <v>1</v>
          </cell>
          <cell r="J14">
            <v>30</v>
          </cell>
          <cell r="K14" t="str">
            <v>2 Menor</v>
          </cell>
          <cell r="L14">
            <v>2</v>
          </cell>
          <cell r="M14">
            <v>32</v>
          </cell>
          <cell r="N14" t="str">
            <v>2 - Zona de riesgo Baja</v>
          </cell>
          <cell r="O14"/>
          <cell r="P14"/>
          <cell r="Q14" t="str">
            <v>Aceptar el riesgo</v>
          </cell>
        </row>
        <row r="15">
          <cell r="H15" t="str">
            <v>1-Muy baja</v>
          </cell>
          <cell r="I15">
            <v>1</v>
          </cell>
          <cell r="J15">
            <v>30</v>
          </cell>
          <cell r="K15" t="str">
            <v>3 Moderado</v>
          </cell>
          <cell r="L15">
            <v>3</v>
          </cell>
          <cell r="M15">
            <v>33</v>
          </cell>
          <cell r="N15" t="str">
            <v>3 - Zona de riesgo Moderada</v>
          </cell>
          <cell r="O15"/>
          <cell r="P15"/>
          <cell r="Q15" t="str">
            <v>Reducir el riesgo</v>
          </cell>
        </row>
        <row r="16">
          <cell r="H16" t="str">
            <v>1-Muy baja</v>
          </cell>
          <cell r="I16">
            <v>1</v>
          </cell>
          <cell r="J16">
            <v>30</v>
          </cell>
          <cell r="K16" t="str">
            <v>4 Mayor</v>
          </cell>
          <cell r="L16">
            <v>4</v>
          </cell>
          <cell r="M16">
            <v>34</v>
          </cell>
          <cell r="N16" t="str">
            <v>4 - Zona de riesgo Alta</v>
          </cell>
          <cell r="O16"/>
          <cell r="P16"/>
          <cell r="Q16" t="str">
            <v>Reducir el riesgo</v>
          </cell>
        </row>
        <row r="17">
          <cell r="H17" t="str">
            <v>1-Muy baja</v>
          </cell>
          <cell r="I17">
            <v>1</v>
          </cell>
          <cell r="J17">
            <v>30</v>
          </cell>
          <cell r="K17" t="str">
            <v xml:space="preserve">5 Catastrófico </v>
          </cell>
          <cell r="L17">
            <v>5</v>
          </cell>
          <cell r="M17">
            <v>35</v>
          </cell>
          <cell r="N17" t="str">
            <v>5 - Zona de riesgo Extremo</v>
          </cell>
          <cell r="O17"/>
          <cell r="P17"/>
          <cell r="Q17" t="str">
            <v>Evitar o compartir el riesgo</v>
          </cell>
        </row>
        <row r="18">
          <cell r="H18" t="str">
            <v>2- Baja</v>
          </cell>
          <cell r="I18">
            <v>2</v>
          </cell>
          <cell r="J18">
            <v>42</v>
          </cell>
          <cell r="K18" t="str">
            <v>1 Insignificante</v>
          </cell>
          <cell r="L18">
            <v>1</v>
          </cell>
          <cell r="M18">
            <v>43</v>
          </cell>
          <cell r="N18" t="str">
            <v>1 - Zona de riesgo Baja</v>
          </cell>
          <cell r="O18"/>
          <cell r="P18"/>
          <cell r="Q18" t="str">
            <v>Aceptar el riesgo</v>
          </cell>
        </row>
        <row r="19">
          <cell r="H19" t="str">
            <v>2- Baja</v>
          </cell>
          <cell r="I19">
            <v>2</v>
          </cell>
          <cell r="J19">
            <v>42</v>
          </cell>
          <cell r="K19" t="str">
            <v>2 Menor</v>
          </cell>
          <cell r="L19">
            <v>2</v>
          </cell>
          <cell r="M19">
            <v>44</v>
          </cell>
          <cell r="N19" t="str">
            <v>2 - Zona de riesgo Moderada</v>
          </cell>
          <cell r="O19"/>
          <cell r="P19"/>
          <cell r="Q19" t="str">
            <v>Reducir el riesgo</v>
          </cell>
        </row>
        <row r="20">
          <cell r="H20" t="str">
            <v>2- Baja</v>
          </cell>
          <cell r="I20">
            <v>2</v>
          </cell>
          <cell r="J20">
            <v>42</v>
          </cell>
          <cell r="K20" t="str">
            <v>3 Moderado</v>
          </cell>
          <cell r="L20">
            <v>3</v>
          </cell>
          <cell r="M20">
            <v>45</v>
          </cell>
          <cell r="N20" t="str">
            <v>3 - Zona de riesgo Moderada</v>
          </cell>
          <cell r="O20"/>
          <cell r="P20"/>
          <cell r="Q20" t="str">
            <v>Reducir el riesgo</v>
          </cell>
        </row>
        <row r="21">
          <cell r="H21" t="str">
            <v>2- Baja</v>
          </cell>
          <cell r="I21">
            <v>2</v>
          </cell>
          <cell r="J21">
            <v>42</v>
          </cell>
          <cell r="K21" t="str">
            <v>4 Mayor</v>
          </cell>
          <cell r="L21">
            <v>4</v>
          </cell>
          <cell r="M21">
            <v>46</v>
          </cell>
          <cell r="N21" t="str">
            <v>4 - Zona de riesgo Alta</v>
          </cell>
          <cell r="O21"/>
          <cell r="P21"/>
          <cell r="Q21" t="str">
            <v>Reducir el riesgo</v>
          </cell>
        </row>
        <row r="22">
          <cell r="H22" t="str">
            <v>2- Baja</v>
          </cell>
          <cell r="I22">
            <v>2</v>
          </cell>
          <cell r="J22">
            <v>42</v>
          </cell>
          <cell r="K22" t="str">
            <v xml:space="preserve">5 Catastrófico </v>
          </cell>
          <cell r="L22">
            <v>5</v>
          </cell>
          <cell r="M22">
            <v>47</v>
          </cell>
          <cell r="N22" t="str">
            <v>5 - Zona de riesgo Extremo</v>
          </cell>
          <cell r="O22"/>
          <cell r="P22"/>
          <cell r="Q22" t="str">
            <v>Evitar o compartir el riesgo</v>
          </cell>
          <cell r="X22" t="str">
            <v>Probabilidad</v>
          </cell>
        </row>
        <row r="23">
          <cell r="H23" t="str">
            <v>3- Media</v>
          </cell>
          <cell r="I23">
            <v>3</v>
          </cell>
          <cell r="J23">
            <v>52</v>
          </cell>
          <cell r="K23" t="str">
            <v>1 Leve</v>
          </cell>
          <cell r="L23">
            <v>1</v>
          </cell>
          <cell r="M23">
            <v>53</v>
          </cell>
          <cell r="N23" t="str">
            <v>1 - Zona de riesgo Moderada</v>
          </cell>
          <cell r="O23"/>
          <cell r="P23"/>
          <cell r="Q23" t="str">
            <v>Reducir el riesgo</v>
          </cell>
          <cell r="W23">
            <v>0.01</v>
          </cell>
          <cell r="X23"/>
        </row>
        <row r="24">
          <cell r="H24" t="str">
            <v>3- Media</v>
          </cell>
          <cell r="I24">
            <v>3</v>
          </cell>
          <cell r="J24">
            <v>52</v>
          </cell>
          <cell r="K24" t="str">
            <v>2 Menor</v>
          </cell>
          <cell r="L24">
            <v>2</v>
          </cell>
          <cell r="M24">
            <v>54</v>
          </cell>
          <cell r="N24" t="str">
            <v>2 - Zona de riesgo Moderada</v>
          </cell>
          <cell r="O24"/>
          <cell r="P24"/>
          <cell r="Q24" t="str">
            <v>Reducir el riesgo</v>
          </cell>
          <cell r="W24">
            <v>0.02</v>
          </cell>
          <cell r="X24" t="str">
            <v>Muy Baja - 20%</v>
          </cell>
          <cell r="Y24" t="str">
            <v>1 Leve</v>
          </cell>
        </row>
        <row r="25">
          <cell r="H25" t="str">
            <v>3- Media</v>
          </cell>
          <cell r="I25">
            <v>3</v>
          </cell>
          <cell r="J25">
            <v>52</v>
          </cell>
          <cell r="K25" t="str">
            <v>3 Moderado</v>
          </cell>
          <cell r="L25">
            <v>3</v>
          </cell>
          <cell r="M25">
            <v>55</v>
          </cell>
          <cell r="N25" t="str">
            <v>3 - Zona de riesgo Moderada</v>
          </cell>
          <cell r="O25"/>
          <cell r="P25"/>
          <cell r="Q25" t="str">
            <v>Reducir el riesgo</v>
          </cell>
          <cell r="W25">
            <v>0.03</v>
          </cell>
          <cell r="X25" t="str">
            <v>Muy Baja - 20%</v>
          </cell>
          <cell r="Y25" t="str">
            <v>1 Leve</v>
          </cell>
        </row>
        <row r="26">
          <cell r="H26" t="str">
            <v>3- Media</v>
          </cell>
          <cell r="I26">
            <v>3</v>
          </cell>
          <cell r="J26">
            <v>52</v>
          </cell>
          <cell r="K26" t="str">
            <v>4 Mayor</v>
          </cell>
          <cell r="L26">
            <v>4</v>
          </cell>
          <cell r="M26">
            <v>56</v>
          </cell>
          <cell r="N26" t="str">
            <v>4 - Zona de riesgo Alta</v>
          </cell>
          <cell r="O26"/>
          <cell r="P26"/>
          <cell r="Q26" t="str">
            <v>Reducir el riesgo</v>
          </cell>
          <cell r="W26">
            <v>0.04</v>
          </cell>
          <cell r="X26" t="str">
            <v>Muy Baja - 20%</v>
          </cell>
          <cell r="Y26" t="str">
            <v>1 Leve</v>
          </cell>
        </row>
        <row r="27">
          <cell r="H27" t="str">
            <v>3- Media</v>
          </cell>
          <cell r="I27">
            <v>3</v>
          </cell>
          <cell r="J27">
            <v>52</v>
          </cell>
          <cell r="K27" t="str">
            <v xml:space="preserve">5 Catastrófico </v>
          </cell>
          <cell r="L27">
            <v>5</v>
          </cell>
          <cell r="M27">
            <v>57</v>
          </cell>
          <cell r="N27" t="str">
            <v>5 - Zona de riesgo Extremo</v>
          </cell>
          <cell r="O27"/>
          <cell r="P27"/>
          <cell r="Q27" t="str">
            <v>Evitar o compartir el riesgo</v>
          </cell>
          <cell r="W27">
            <v>0.05</v>
          </cell>
          <cell r="X27" t="str">
            <v>Muy Baja - 20%</v>
          </cell>
          <cell r="Y27" t="str">
            <v>1 Leve</v>
          </cell>
        </row>
        <row r="28">
          <cell r="H28" t="str">
            <v>4- Alta</v>
          </cell>
          <cell r="I28">
            <v>4</v>
          </cell>
          <cell r="J28">
            <v>63</v>
          </cell>
          <cell r="K28" t="str">
            <v>1 Leve</v>
          </cell>
          <cell r="L28">
            <v>1</v>
          </cell>
          <cell r="M28">
            <v>64</v>
          </cell>
          <cell r="N28" t="str">
            <v>1 - Zona de riesgo Moderada</v>
          </cell>
          <cell r="O28"/>
          <cell r="P28"/>
          <cell r="Q28" t="str">
            <v>Reducir el riesgo</v>
          </cell>
          <cell r="W28">
            <v>0.06</v>
          </cell>
          <cell r="X28" t="str">
            <v>Muy Baja - 20%</v>
          </cell>
          <cell r="Y28" t="str">
            <v>1 Leve</v>
          </cell>
        </row>
        <row r="29">
          <cell r="H29" t="str">
            <v>4- Alta</v>
          </cell>
          <cell r="I29">
            <v>4</v>
          </cell>
          <cell r="J29">
            <v>63</v>
          </cell>
          <cell r="K29" t="str">
            <v>2 Menor</v>
          </cell>
          <cell r="L29">
            <v>2</v>
          </cell>
          <cell r="M29">
            <v>65</v>
          </cell>
          <cell r="N29" t="str">
            <v>2 - Zona de riesgo Moderada</v>
          </cell>
          <cell r="O29"/>
          <cell r="P29"/>
          <cell r="Q29" t="str">
            <v>Reducir el riesgo</v>
          </cell>
          <cell r="W29">
            <v>7.0000000000000007E-2</v>
          </cell>
          <cell r="X29" t="str">
            <v>Muy Baja - 20%</v>
          </cell>
          <cell r="Y29" t="str">
            <v>1 Leve</v>
          </cell>
        </row>
        <row r="30">
          <cell r="H30" t="str">
            <v>4- Alta</v>
          </cell>
          <cell r="I30">
            <v>4</v>
          </cell>
          <cell r="J30">
            <v>63</v>
          </cell>
          <cell r="K30" t="str">
            <v>3 Moderado</v>
          </cell>
          <cell r="L30">
            <v>3</v>
          </cell>
          <cell r="M30">
            <v>66</v>
          </cell>
          <cell r="N30" t="str">
            <v>3 - Zona de riesgo Alta</v>
          </cell>
          <cell r="O30"/>
          <cell r="P30"/>
          <cell r="Q30" t="str">
            <v>Reducir el riesgo</v>
          </cell>
          <cell r="W30">
            <v>0.08</v>
          </cell>
          <cell r="X30" t="str">
            <v>Muy Baja - 20%</v>
          </cell>
          <cell r="Y30" t="str">
            <v>1 Leve</v>
          </cell>
        </row>
        <row r="31">
          <cell r="H31" t="str">
            <v>4- Alta</v>
          </cell>
          <cell r="I31">
            <v>4</v>
          </cell>
          <cell r="J31">
            <v>63</v>
          </cell>
          <cell r="K31" t="str">
            <v>4 Mayor</v>
          </cell>
          <cell r="L31">
            <v>4</v>
          </cell>
          <cell r="M31">
            <v>67</v>
          </cell>
          <cell r="N31" t="str">
            <v>4 - Zona de riesgo Alta</v>
          </cell>
          <cell r="O31"/>
          <cell r="P31"/>
          <cell r="Q31" t="str">
            <v>Reducir el riesgo</v>
          </cell>
          <cell r="W31">
            <v>0.09</v>
          </cell>
          <cell r="X31" t="str">
            <v>Muy Baja - 20%</v>
          </cell>
          <cell r="Y31" t="str">
            <v>1 Leve</v>
          </cell>
        </row>
        <row r="32">
          <cell r="H32" t="str">
            <v>4- Alta</v>
          </cell>
          <cell r="I32">
            <v>4</v>
          </cell>
          <cell r="J32">
            <v>63</v>
          </cell>
          <cell r="K32" t="str">
            <v xml:space="preserve">5 Catastrófico </v>
          </cell>
          <cell r="L32">
            <v>5</v>
          </cell>
          <cell r="M32">
            <v>68</v>
          </cell>
          <cell r="N32" t="str">
            <v>5 - Zona de riesgo Extremo</v>
          </cell>
          <cell r="O32"/>
          <cell r="P32"/>
          <cell r="Q32" t="str">
            <v>Evitar o compartir el riesgo</v>
          </cell>
          <cell r="S32" t="str">
            <v>Valoración Impacto</v>
          </cell>
          <cell r="T32" t="str">
            <v>%</v>
          </cell>
          <cell r="W32">
            <v>0.1</v>
          </cell>
          <cell r="X32" t="str">
            <v>Muy Baja - 20%</v>
          </cell>
          <cell r="Y32" t="str">
            <v>1 Leve</v>
          </cell>
        </row>
        <row r="33">
          <cell r="H33" t="str">
            <v>5 - Muy Alta</v>
          </cell>
          <cell r="I33">
            <v>5</v>
          </cell>
          <cell r="J33">
            <v>74</v>
          </cell>
          <cell r="K33" t="str">
            <v>1 Leve</v>
          </cell>
          <cell r="L33">
            <v>1</v>
          </cell>
          <cell r="M33">
            <v>75</v>
          </cell>
          <cell r="N33" t="str">
            <v>1 - Zona de riesgo Alta</v>
          </cell>
          <cell r="O33"/>
          <cell r="P33"/>
          <cell r="Q33" t="str">
            <v>Reducir el riesgo</v>
          </cell>
          <cell r="S33"/>
          <cell r="T33"/>
          <cell r="W33">
            <v>0.11</v>
          </cell>
          <cell r="X33" t="str">
            <v>Muy Baja - 20%</v>
          </cell>
          <cell r="Y33" t="str">
            <v>1 Leve</v>
          </cell>
        </row>
        <row r="34">
          <cell r="H34" t="str">
            <v>6 - Muy Alta</v>
          </cell>
          <cell r="I34">
            <v>5</v>
          </cell>
          <cell r="J34">
            <v>74</v>
          </cell>
          <cell r="K34" t="str">
            <v>2 Menor</v>
          </cell>
          <cell r="L34">
            <v>2</v>
          </cell>
          <cell r="M34">
            <v>76</v>
          </cell>
          <cell r="N34" t="str">
            <v>2 - Zona de riesgo Alta</v>
          </cell>
          <cell r="O34"/>
          <cell r="P34"/>
          <cell r="Q34" t="str">
            <v>Reducir el riesgo</v>
          </cell>
          <cell r="S34" t="str">
            <v>1 Leve</v>
          </cell>
          <cell r="T34">
            <v>0.2</v>
          </cell>
          <cell r="W34">
            <v>0.12</v>
          </cell>
          <cell r="X34" t="str">
            <v>Muy Baja - 20%</v>
          </cell>
          <cell r="Y34" t="str">
            <v>1 Leve</v>
          </cell>
        </row>
        <row r="35">
          <cell r="H35" t="str">
            <v>7 - Muy Alta</v>
          </cell>
          <cell r="I35">
            <v>5</v>
          </cell>
          <cell r="J35">
            <v>74</v>
          </cell>
          <cell r="K35" t="str">
            <v>3 Moderado</v>
          </cell>
          <cell r="L35">
            <v>3</v>
          </cell>
          <cell r="M35">
            <v>77</v>
          </cell>
          <cell r="N35" t="str">
            <v>3 - Zona de riesgo Alta</v>
          </cell>
          <cell r="O35"/>
          <cell r="P35"/>
          <cell r="Q35" t="str">
            <v>Reducir el riesgo</v>
          </cell>
          <cell r="S35" t="str">
            <v>2 Menor</v>
          </cell>
          <cell r="T35">
            <v>0.4</v>
          </cell>
          <cell r="W35">
            <v>0.13</v>
          </cell>
          <cell r="X35" t="str">
            <v>Muy Baja - 20%</v>
          </cell>
          <cell r="Y35" t="str">
            <v>1 Leve</v>
          </cell>
        </row>
        <row r="36">
          <cell r="H36" t="str">
            <v>8 - Muy Alta</v>
          </cell>
          <cell r="I36">
            <v>5</v>
          </cell>
          <cell r="J36">
            <v>74</v>
          </cell>
          <cell r="K36" t="str">
            <v>4 Mayor</v>
          </cell>
          <cell r="L36">
            <v>4</v>
          </cell>
          <cell r="M36">
            <v>78</v>
          </cell>
          <cell r="N36" t="str">
            <v>4 - Zona de riesgo Alta</v>
          </cell>
          <cell r="O36"/>
          <cell r="P36"/>
          <cell r="Q36" t="str">
            <v>Reducir el riesgo</v>
          </cell>
          <cell r="S36" t="str">
            <v>3 Moderado</v>
          </cell>
          <cell r="T36">
            <v>0.6</v>
          </cell>
          <cell r="W36">
            <v>0.14000000000000001</v>
          </cell>
          <cell r="X36" t="str">
            <v>Muy Baja - 20%</v>
          </cell>
          <cell r="Y36" t="str">
            <v>1 Leve</v>
          </cell>
        </row>
        <row r="37">
          <cell r="H37" t="str">
            <v>9 - Muy Alta</v>
          </cell>
          <cell r="I37">
            <v>5</v>
          </cell>
          <cell r="J37">
            <v>74</v>
          </cell>
          <cell r="K37" t="str">
            <v xml:space="preserve">5 Catastrófico </v>
          </cell>
          <cell r="L37">
            <v>5</v>
          </cell>
          <cell r="M37">
            <v>79</v>
          </cell>
          <cell r="N37" t="str">
            <v>5 - Zona de riesgo Extremo</v>
          </cell>
          <cell r="O37"/>
          <cell r="P37"/>
          <cell r="Q37" t="str">
            <v>Evitar o compartir el riesgo</v>
          </cell>
          <cell r="S37" t="str">
            <v>4 Mayor</v>
          </cell>
          <cell r="T37">
            <v>0.8</v>
          </cell>
          <cell r="W37">
            <v>0.15</v>
          </cell>
          <cell r="X37" t="str">
            <v>Muy Baja - 20%</v>
          </cell>
          <cell r="Y37" t="str">
            <v>1 Leve</v>
          </cell>
        </row>
        <row r="38">
          <cell r="S38" t="str">
            <v xml:space="preserve">5 Catastrófico </v>
          </cell>
          <cell r="T38">
            <v>1</v>
          </cell>
          <cell r="W38">
            <v>0.16</v>
          </cell>
          <cell r="X38" t="str">
            <v>Muy Baja - 20%</v>
          </cell>
          <cell r="Y38" t="str">
            <v>1 Leve</v>
          </cell>
        </row>
        <row r="39">
          <cell r="W39">
            <v>0.17</v>
          </cell>
          <cell r="X39" t="str">
            <v>Muy Baja - 20%</v>
          </cell>
          <cell r="Y39" t="str">
            <v>1 Leve</v>
          </cell>
        </row>
        <row r="40">
          <cell r="W40">
            <v>0.18</v>
          </cell>
          <cell r="X40" t="str">
            <v>Muy Baja - 20%</v>
          </cell>
          <cell r="Y40" t="str">
            <v>1 Leve</v>
          </cell>
        </row>
        <row r="41">
          <cell r="W41">
            <v>0.19</v>
          </cell>
          <cell r="X41" t="str">
            <v>Muy Baja - 20%</v>
          </cell>
          <cell r="Y41" t="str">
            <v>1 Leve</v>
          </cell>
        </row>
        <row r="42">
          <cell r="W42">
            <v>0.2</v>
          </cell>
          <cell r="X42" t="str">
            <v>Muy Baja - 20%</v>
          </cell>
          <cell r="Y42" t="str">
            <v>1 Leve</v>
          </cell>
        </row>
        <row r="43">
          <cell r="W43">
            <v>0.21</v>
          </cell>
          <cell r="X43" t="str">
            <v>Baja - 40%</v>
          </cell>
          <cell r="Y43" t="str">
            <v>2 Menor</v>
          </cell>
        </row>
        <row r="44">
          <cell r="W44">
            <v>0.22</v>
          </cell>
          <cell r="X44" t="str">
            <v>Baja - 40%</v>
          </cell>
          <cell r="Y44" t="str">
            <v>2 Menor</v>
          </cell>
        </row>
        <row r="45">
          <cell r="W45">
            <v>0.23</v>
          </cell>
          <cell r="X45" t="str">
            <v>Baja - 40%</v>
          </cell>
          <cell r="Y45" t="str">
            <v>2 Menor</v>
          </cell>
        </row>
        <row r="46">
          <cell r="W46">
            <v>0.24</v>
          </cell>
          <cell r="X46" t="str">
            <v>Baja - 40%</v>
          </cell>
          <cell r="Y46" t="str">
            <v>2 Menor</v>
          </cell>
        </row>
        <row r="47">
          <cell r="W47">
            <v>0.25</v>
          </cell>
          <cell r="X47" t="str">
            <v>Baja - 40%</v>
          </cell>
          <cell r="Y47" t="str">
            <v>2 Menor</v>
          </cell>
        </row>
        <row r="48">
          <cell r="W48">
            <v>0.26</v>
          </cell>
          <cell r="X48" t="str">
            <v>Baja - 40%</v>
          </cell>
          <cell r="Y48" t="str">
            <v>2 Menor</v>
          </cell>
        </row>
        <row r="49">
          <cell r="W49">
            <v>0.27</v>
          </cell>
          <cell r="X49" t="str">
            <v>Baja - 40%</v>
          </cell>
          <cell r="Y49" t="str">
            <v>2 Menor</v>
          </cell>
        </row>
        <row r="50">
          <cell r="W50">
            <v>0.28000000000000003</v>
          </cell>
          <cell r="X50" t="str">
            <v>Baja - 40%</v>
          </cell>
          <cell r="Y50" t="str">
            <v>2 Menor</v>
          </cell>
        </row>
        <row r="51">
          <cell r="W51">
            <v>0.28999999999999998</v>
          </cell>
          <cell r="X51" t="str">
            <v>Baja - 40%</v>
          </cell>
          <cell r="Y51" t="str">
            <v>2 Menor</v>
          </cell>
        </row>
        <row r="52">
          <cell r="W52">
            <v>0.3</v>
          </cell>
          <cell r="X52" t="str">
            <v>Baja - 40%</v>
          </cell>
          <cell r="Y52" t="str">
            <v>2 Menor</v>
          </cell>
        </row>
        <row r="53">
          <cell r="W53">
            <v>0.31</v>
          </cell>
          <cell r="X53" t="str">
            <v>Baja - 40%</v>
          </cell>
          <cell r="Y53" t="str">
            <v>2 Menor</v>
          </cell>
        </row>
        <row r="54">
          <cell r="W54">
            <v>0.32</v>
          </cell>
          <cell r="X54" t="str">
            <v>Baja - 40%</v>
          </cell>
          <cell r="Y54" t="str">
            <v>2 Menor</v>
          </cell>
        </row>
        <row r="55">
          <cell r="W55">
            <v>0.33</v>
          </cell>
          <cell r="X55" t="str">
            <v>Baja - 40%</v>
          </cell>
          <cell r="Y55" t="str">
            <v>2 Menor</v>
          </cell>
        </row>
        <row r="56">
          <cell r="W56">
            <v>0.34</v>
          </cell>
          <cell r="X56" t="str">
            <v>Baja - 40%</v>
          </cell>
          <cell r="Y56" t="str">
            <v>2 Menor</v>
          </cell>
        </row>
        <row r="57">
          <cell r="W57">
            <v>0.35</v>
          </cell>
          <cell r="X57" t="str">
            <v>Baja - 40%</v>
          </cell>
          <cell r="Y57" t="str">
            <v>2 Menor</v>
          </cell>
        </row>
        <row r="58">
          <cell r="W58">
            <v>0.36</v>
          </cell>
          <cell r="X58" t="str">
            <v>Baja - 40%</v>
          </cell>
          <cell r="Y58" t="str">
            <v>2 Menor</v>
          </cell>
        </row>
        <row r="59">
          <cell r="W59">
            <v>0.37</v>
          </cell>
          <cell r="X59" t="str">
            <v>Baja - 40%</v>
          </cell>
          <cell r="Y59" t="str">
            <v>2 Menor</v>
          </cell>
        </row>
        <row r="60">
          <cell r="W60">
            <v>0.38</v>
          </cell>
          <cell r="X60" t="str">
            <v>Baja - 40%</v>
          </cell>
          <cell r="Y60" t="str">
            <v>2 Menor</v>
          </cell>
        </row>
        <row r="61">
          <cell r="W61">
            <v>0.39</v>
          </cell>
          <cell r="X61" t="str">
            <v>Baja - 40%</v>
          </cell>
          <cell r="Y61" t="str">
            <v>2 Menor</v>
          </cell>
        </row>
        <row r="62">
          <cell r="W62">
            <v>0.4</v>
          </cell>
          <cell r="X62" t="str">
            <v>Baja - 40%</v>
          </cell>
          <cell r="Y62" t="str">
            <v>2 Menor</v>
          </cell>
        </row>
        <row r="63">
          <cell r="W63">
            <v>0.41</v>
          </cell>
          <cell r="X63" t="str">
            <v>Media - 60%</v>
          </cell>
          <cell r="Y63" t="str">
            <v>3 Moderado</v>
          </cell>
        </row>
        <row r="64">
          <cell r="W64">
            <v>0.42</v>
          </cell>
          <cell r="X64" t="str">
            <v>Media - 60%</v>
          </cell>
          <cell r="Y64" t="str">
            <v>3 Moderado</v>
          </cell>
        </row>
        <row r="65">
          <cell r="W65">
            <v>0.43</v>
          </cell>
          <cell r="X65" t="str">
            <v>Media - 60%</v>
          </cell>
          <cell r="Y65" t="str">
            <v>3 Moderado</v>
          </cell>
        </row>
        <row r="66">
          <cell r="D66" t="str">
            <v>Automático</v>
          </cell>
          <cell r="E66">
            <v>0.25</v>
          </cell>
          <cell r="W66">
            <v>0.44</v>
          </cell>
          <cell r="X66" t="str">
            <v>Media - 60%</v>
          </cell>
          <cell r="Y66" t="str">
            <v>3 Moderado</v>
          </cell>
        </row>
        <row r="67">
          <cell r="D67" t="str">
            <v>Manual</v>
          </cell>
          <cell r="E67">
            <v>0.15</v>
          </cell>
          <cell r="W67">
            <v>0.45</v>
          </cell>
          <cell r="X67" t="str">
            <v>Media - 60%</v>
          </cell>
          <cell r="Y67" t="str">
            <v>3 Moderado</v>
          </cell>
        </row>
        <row r="68">
          <cell r="W68">
            <v>0.46</v>
          </cell>
          <cell r="X68" t="str">
            <v>Media - 60%</v>
          </cell>
          <cell r="Y68" t="str">
            <v>3 Moderado</v>
          </cell>
        </row>
        <row r="69">
          <cell r="W69">
            <v>0.47</v>
          </cell>
          <cell r="X69" t="str">
            <v>Media - 60%</v>
          </cell>
          <cell r="Y69" t="str">
            <v>3 Moderado</v>
          </cell>
        </row>
        <row r="70">
          <cell r="W70">
            <v>0.48</v>
          </cell>
          <cell r="X70" t="str">
            <v>Media - 60%</v>
          </cell>
          <cell r="Y70" t="str">
            <v>3 Moderado</v>
          </cell>
        </row>
        <row r="71">
          <cell r="W71">
            <v>0.49</v>
          </cell>
          <cell r="X71" t="str">
            <v>Media - 60%</v>
          </cell>
          <cell r="Y71" t="str">
            <v>3 Moderado</v>
          </cell>
        </row>
        <row r="72">
          <cell r="W72">
            <v>0.5</v>
          </cell>
          <cell r="X72" t="str">
            <v>Media - 60%</v>
          </cell>
          <cell r="Y72" t="str">
            <v>3 Moderado</v>
          </cell>
        </row>
        <row r="73">
          <cell r="W73">
            <v>0.51</v>
          </cell>
          <cell r="X73" t="str">
            <v>Media - 60%</v>
          </cell>
          <cell r="Y73" t="str">
            <v>3 Moderado</v>
          </cell>
        </row>
        <row r="74">
          <cell r="W74">
            <v>0.52</v>
          </cell>
          <cell r="X74" t="str">
            <v>Media - 60%</v>
          </cell>
          <cell r="Y74" t="str">
            <v>3 Moderado</v>
          </cell>
        </row>
        <row r="75">
          <cell r="W75">
            <v>0.53</v>
          </cell>
          <cell r="X75" t="str">
            <v>Media - 60%</v>
          </cell>
          <cell r="Y75" t="str">
            <v>3 Moderado</v>
          </cell>
        </row>
        <row r="76">
          <cell r="W76">
            <v>0.54</v>
          </cell>
          <cell r="X76" t="str">
            <v>Media - 60%</v>
          </cell>
          <cell r="Y76" t="str">
            <v>3 Moderado</v>
          </cell>
        </row>
        <row r="77">
          <cell r="W77">
            <v>0.55000000000000004</v>
          </cell>
          <cell r="X77" t="str">
            <v>Media - 60%</v>
          </cell>
          <cell r="Y77" t="str">
            <v>3 Moderado</v>
          </cell>
        </row>
        <row r="78">
          <cell r="W78">
            <v>0.56000000000000005</v>
          </cell>
          <cell r="X78" t="str">
            <v>Media - 60%</v>
          </cell>
          <cell r="Y78" t="str">
            <v>3 Moderado</v>
          </cell>
        </row>
        <row r="79">
          <cell r="W79">
            <v>0.56999999999999995</v>
          </cell>
          <cell r="X79" t="str">
            <v>Media - 60%</v>
          </cell>
          <cell r="Y79" t="str">
            <v>3 Moderado</v>
          </cell>
        </row>
        <row r="80">
          <cell r="W80">
            <v>0.57999999999999996</v>
          </cell>
          <cell r="X80" t="str">
            <v>Media - 60%</v>
          </cell>
          <cell r="Y80" t="str">
            <v>3 Moderado</v>
          </cell>
        </row>
        <row r="81">
          <cell r="W81">
            <v>0.59</v>
          </cell>
          <cell r="X81" t="str">
            <v>Media - 60%</v>
          </cell>
          <cell r="Y81" t="str">
            <v>3 Moderado</v>
          </cell>
        </row>
        <row r="82">
          <cell r="W82">
            <v>0.6</v>
          </cell>
          <cell r="X82" t="str">
            <v>Media - 60%</v>
          </cell>
          <cell r="Y82" t="str">
            <v>3 Moderado</v>
          </cell>
        </row>
        <row r="83">
          <cell r="W83">
            <v>0.61</v>
          </cell>
          <cell r="X83" t="str">
            <v>Alta - 80%</v>
          </cell>
          <cell r="Y83" t="str">
            <v>4 Mayor</v>
          </cell>
        </row>
        <row r="84">
          <cell r="W84">
            <v>0.62</v>
          </cell>
          <cell r="X84" t="str">
            <v>Alta - 80%</v>
          </cell>
          <cell r="Y84" t="str">
            <v>4 Mayor</v>
          </cell>
        </row>
        <row r="85">
          <cell r="W85">
            <v>0.63</v>
          </cell>
          <cell r="X85" t="str">
            <v>Alta - 80%</v>
          </cell>
          <cell r="Y85" t="str">
            <v>4 Mayor</v>
          </cell>
        </row>
        <row r="86">
          <cell r="W86">
            <v>0.64</v>
          </cell>
          <cell r="X86" t="str">
            <v>Alta - 80%</v>
          </cell>
          <cell r="Y86" t="str">
            <v>4 Mayor</v>
          </cell>
        </row>
        <row r="87">
          <cell r="W87">
            <v>0.65</v>
          </cell>
          <cell r="X87" t="str">
            <v>Alta - 80%</v>
          </cell>
          <cell r="Y87" t="str">
            <v>4 Mayor</v>
          </cell>
        </row>
        <row r="88">
          <cell r="W88">
            <v>0.66</v>
          </cell>
          <cell r="X88" t="str">
            <v>Alta - 80%</v>
          </cell>
          <cell r="Y88" t="str">
            <v>4 Mayor</v>
          </cell>
        </row>
        <row r="89">
          <cell r="W89">
            <v>0.67</v>
          </cell>
          <cell r="X89" t="str">
            <v>Alta - 80%</v>
          </cell>
          <cell r="Y89" t="str">
            <v>4 Mayor</v>
          </cell>
        </row>
        <row r="90">
          <cell r="W90">
            <v>0.68</v>
          </cell>
          <cell r="X90" t="str">
            <v>Alta - 80%</v>
          </cell>
          <cell r="Y90" t="str">
            <v>4 Mayor</v>
          </cell>
        </row>
        <row r="91">
          <cell r="W91">
            <v>0.69</v>
          </cell>
          <cell r="X91" t="str">
            <v>Alta - 80%</v>
          </cell>
          <cell r="Y91" t="str">
            <v>4 Mayor</v>
          </cell>
        </row>
        <row r="92">
          <cell r="W92">
            <v>0.7</v>
          </cell>
          <cell r="X92" t="str">
            <v>Alta - 80%</v>
          </cell>
          <cell r="Y92" t="str">
            <v>4 Mayor</v>
          </cell>
        </row>
        <row r="93">
          <cell r="W93">
            <v>0.71</v>
          </cell>
          <cell r="X93" t="str">
            <v>Alta - 80%</v>
          </cell>
          <cell r="Y93" t="str">
            <v>4 Mayor</v>
          </cell>
        </row>
        <row r="94">
          <cell r="W94">
            <v>0.72</v>
          </cell>
          <cell r="X94" t="str">
            <v>Alta - 80%</v>
          </cell>
          <cell r="Y94" t="str">
            <v>4 Mayor</v>
          </cell>
        </row>
        <row r="95">
          <cell r="W95">
            <v>0.73</v>
          </cell>
          <cell r="X95" t="str">
            <v>Alta - 80%</v>
          </cell>
          <cell r="Y95" t="str">
            <v>4 Mayor</v>
          </cell>
        </row>
        <row r="96">
          <cell r="W96">
            <v>0.74</v>
          </cell>
          <cell r="X96" t="str">
            <v>Alta - 80%</v>
          </cell>
          <cell r="Y96" t="str">
            <v>4 Mayor</v>
          </cell>
        </row>
        <row r="97">
          <cell r="W97">
            <v>0.75</v>
          </cell>
          <cell r="X97" t="str">
            <v>Alta - 80%</v>
          </cell>
          <cell r="Y97" t="str">
            <v>4 Mayor</v>
          </cell>
        </row>
        <row r="98">
          <cell r="W98">
            <v>0.76</v>
          </cell>
          <cell r="X98" t="str">
            <v>Alta - 80%</v>
          </cell>
          <cell r="Y98" t="str">
            <v>4 Mayor</v>
          </cell>
        </row>
        <row r="99">
          <cell r="W99">
            <v>0.77</v>
          </cell>
          <cell r="X99" t="str">
            <v>Alta - 80%</v>
          </cell>
          <cell r="Y99" t="str">
            <v>4 Mayor</v>
          </cell>
        </row>
        <row r="100">
          <cell r="W100">
            <v>0.78</v>
          </cell>
          <cell r="X100" t="str">
            <v>Alta - 80%</v>
          </cell>
          <cell r="Y100" t="str">
            <v>4 Mayor</v>
          </cell>
        </row>
        <row r="101">
          <cell r="W101">
            <v>0.79</v>
          </cell>
          <cell r="X101" t="str">
            <v>Alta - 80%</v>
          </cell>
          <cell r="Y101" t="str">
            <v>4 Mayor</v>
          </cell>
        </row>
        <row r="102">
          <cell r="W102">
            <v>0.8</v>
          </cell>
          <cell r="X102" t="str">
            <v>Alta - 80%</v>
          </cell>
          <cell r="Y102" t="str">
            <v>4 Mayor</v>
          </cell>
        </row>
        <row r="103">
          <cell r="W103">
            <v>0.81</v>
          </cell>
          <cell r="X103" t="str">
            <v>Muy Alta - 100%</v>
          </cell>
          <cell r="Y103" t="str">
            <v xml:space="preserve">5 Catastrófico </v>
          </cell>
        </row>
        <row r="104">
          <cell r="W104">
            <v>0.82</v>
          </cell>
          <cell r="X104" t="str">
            <v>Muy Alta - 100%</v>
          </cell>
          <cell r="Y104" t="str">
            <v xml:space="preserve">5 Catastrófico </v>
          </cell>
        </row>
        <row r="105">
          <cell r="W105">
            <v>0.83</v>
          </cell>
          <cell r="X105" t="str">
            <v>Muy Alta - 100%</v>
          </cell>
          <cell r="Y105" t="str">
            <v xml:space="preserve">5 Catastrófico </v>
          </cell>
        </row>
        <row r="106">
          <cell r="W106">
            <v>0.84</v>
          </cell>
          <cell r="X106" t="str">
            <v>Muy Alta - 100%</v>
          </cell>
          <cell r="Y106" t="str">
            <v xml:space="preserve">5 Catastrófico </v>
          </cell>
        </row>
        <row r="107">
          <cell r="W107">
            <v>0.85</v>
          </cell>
          <cell r="X107" t="str">
            <v>Muy Alta - 100%</v>
          </cell>
          <cell r="Y107" t="str">
            <v xml:space="preserve">5 Catastrófico </v>
          </cell>
        </row>
        <row r="108">
          <cell r="W108">
            <v>0.86</v>
          </cell>
          <cell r="X108" t="str">
            <v>Muy Alta - 100%</v>
          </cell>
          <cell r="Y108" t="str">
            <v xml:space="preserve">5 Catastrófico </v>
          </cell>
        </row>
        <row r="109">
          <cell r="W109">
            <v>0.87</v>
          </cell>
          <cell r="X109" t="str">
            <v>Muy Alta - 100%</v>
          </cell>
          <cell r="Y109" t="str">
            <v xml:space="preserve">5 Catastrófico </v>
          </cell>
        </row>
        <row r="110">
          <cell r="W110">
            <v>0.88</v>
          </cell>
          <cell r="X110" t="str">
            <v>Muy Alta - 100%</v>
          </cell>
          <cell r="Y110" t="str">
            <v xml:space="preserve">5 Catastrófico </v>
          </cell>
        </row>
        <row r="111">
          <cell r="W111">
            <v>0.89</v>
          </cell>
          <cell r="X111" t="str">
            <v>Muy Alta - 100%</v>
          </cell>
          <cell r="Y111" t="str">
            <v xml:space="preserve">5 Catastrófico </v>
          </cell>
        </row>
        <row r="112">
          <cell r="W112">
            <v>0.9</v>
          </cell>
          <cell r="X112" t="str">
            <v>Muy Alta - 100%</v>
          </cell>
          <cell r="Y112" t="str">
            <v xml:space="preserve">5 Catastrófico </v>
          </cell>
        </row>
        <row r="113">
          <cell r="W113">
            <v>0.91</v>
          </cell>
          <cell r="X113" t="str">
            <v>Muy Alta - 100%</v>
          </cell>
          <cell r="Y113" t="str">
            <v xml:space="preserve">5 Catastrófico </v>
          </cell>
        </row>
        <row r="114">
          <cell r="W114">
            <v>0.92</v>
          </cell>
          <cell r="X114" t="str">
            <v>Muy Alta - 100%</v>
          </cell>
          <cell r="Y114" t="str">
            <v xml:space="preserve">5 Catastrófico </v>
          </cell>
        </row>
        <row r="115">
          <cell r="W115">
            <v>0.93</v>
          </cell>
          <cell r="X115" t="str">
            <v>Muy Alta - 100%</v>
          </cell>
          <cell r="Y115" t="str">
            <v xml:space="preserve">5 Catastrófico </v>
          </cell>
        </row>
        <row r="116">
          <cell r="W116">
            <v>0.94</v>
          </cell>
          <cell r="X116" t="str">
            <v>Muy Alta - 100%</v>
          </cell>
          <cell r="Y116" t="str">
            <v xml:space="preserve">5 Catastrófico </v>
          </cell>
        </row>
        <row r="117">
          <cell r="W117">
            <v>0.95</v>
          </cell>
          <cell r="X117" t="str">
            <v>Muy Alta - 100%</v>
          </cell>
          <cell r="Y117" t="str">
            <v xml:space="preserve">5 Catastrófico </v>
          </cell>
        </row>
        <row r="118">
          <cell r="L118"/>
          <cell r="W118">
            <v>0.96</v>
          </cell>
          <cell r="X118" t="str">
            <v>Muy Alta - 100%</v>
          </cell>
          <cell r="Y118" t="str">
            <v xml:space="preserve">5 Catastrófico </v>
          </cell>
        </row>
        <row r="119">
          <cell r="L119"/>
          <cell r="W119">
            <v>0.97</v>
          </cell>
          <cell r="X119" t="str">
            <v>Muy Alta - 100%</v>
          </cell>
          <cell r="Y119" t="str">
            <v xml:space="preserve">5 Catastrófico </v>
          </cell>
        </row>
        <row r="120">
          <cell r="W120">
            <v>0.98</v>
          </cell>
          <cell r="X120" t="str">
            <v>Muy Alta - 100%</v>
          </cell>
          <cell r="Y120" t="str">
            <v xml:space="preserve">5 Catastrófico </v>
          </cell>
        </row>
        <row r="121">
          <cell r="W121">
            <v>0.99</v>
          </cell>
          <cell r="X121" t="str">
            <v>Muy Alta - 100%</v>
          </cell>
          <cell r="Y121" t="str">
            <v xml:space="preserve">5 Catastrófico </v>
          </cell>
        </row>
        <row r="122">
          <cell r="W122">
            <v>1</v>
          </cell>
          <cell r="X122" t="str">
            <v>Muy Alta - 100%</v>
          </cell>
          <cell r="Y122" t="str">
            <v xml:space="preserve">5 Catastrófico </v>
          </cell>
        </row>
      </sheetData>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y Seguridad Digital"/>
      <sheetName val="Campos"/>
    </sheetNames>
    <sheetDataSet>
      <sheetData sheetId="0"/>
      <sheetData sheetId="1">
        <row r="11">
          <cell r="H11" t="str">
            <v>Probabilidad</v>
          </cell>
          <cell r="I11"/>
          <cell r="J11" t="str">
            <v>Números aleatorios</v>
          </cell>
          <cell r="K11" t="str">
            <v>Valoración Impacto</v>
          </cell>
          <cell r="L11"/>
          <cell r="M11" t="str">
            <v>Código por combinación</v>
          </cell>
          <cell r="N11" t="str">
            <v>Zona de riesgo inicial</v>
          </cell>
          <cell r="O11"/>
          <cell r="P11"/>
          <cell r="Q11" t="str">
            <v xml:space="preserve">Opción de manejo ó tratamiento 
</v>
          </cell>
        </row>
        <row r="12">
          <cell r="H12"/>
          <cell r="I12"/>
          <cell r="J12"/>
          <cell r="K12"/>
          <cell r="L12"/>
          <cell r="M12"/>
          <cell r="N12"/>
          <cell r="O12"/>
          <cell r="P12"/>
          <cell r="Q12"/>
        </row>
        <row r="13">
          <cell r="H13" t="str">
            <v>1-Muy baja</v>
          </cell>
          <cell r="I13">
            <v>1</v>
          </cell>
          <cell r="J13">
            <v>30</v>
          </cell>
          <cell r="K13" t="str">
            <v>1 Leve</v>
          </cell>
          <cell r="L13">
            <v>1</v>
          </cell>
          <cell r="M13">
            <v>31</v>
          </cell>
          <cell r="N13" t="str">
            <v>1 - Zona de riesgo Baja</v>
          </cell>
          <cell r="O13"/>
          <cell r="P13"/>
          <cell r="Q13" t="str">
            <v>Aceptar el riesgo</v>
          </cell>
        </row>
        <row r="14">
          <cell r="H14" t="str">
            <v>1-Muy baja</v>
          </cell>
          <cell r="I14">
            <v>1</v>
          </cell>
          <cell r="J14">
            <v>30</v>
          </cell>
          <cell r="K14" t="str">
            <v>2 Menor</v>
          </cell>
          <cell r="L14">
            <v>2</v>
          </cell>
          <cell r="M14">
            <v>32</v>
          </cell>
          <cell r="N14" t="str">
            <v>2 - Zona de riesgo Baja</v>
          </cell>
          <cell r="O14"/>
          <cell r="P14"/>
          <cell r="Q14" t="str">
            <v>Aceptar el riesgo</v>
          </cell>
        </row>
        <row r="15">
          <cell r="H15" t="str">
            <v>1-Muy baja</v>
          </cell>
          <cell r="I15">
            <v>1</v>
          </cell>
          <cell r="J15">
            <v>30</v>
          </cell>
          <cell r="K15" t="str">
            <v>3 Moderado</v>
          </cell>
          <cell r="L15">
            <v>3</v>
          </cell>
          <cell r="M15">
            <v>33</v>
          </cell>
          <cell r="N15" t="str">
            <v>3 - Zona de riesgo Moderada</v>
          </cell>
          <cell r="O15"/>
          <cell r="P15"/>
          <cell r="Q15" t="str">
            <v>Reducir el riesgo</v>
          </cell>
        </row>
        <row r="16">
          <cell r="H16" t="str">
            <v>1-Muy baja</v>
          </cell>
          <cell r="I16">
            <v>1</v>
          </cell>
          <cell r="J16">
            <v>30</v>
          </cell>
          <cell r="K16" t="str">
            <v>4 Mayor</v>
          </cell>
          <cell r="L16">
            <v>4</v>
          </cell>
          <cell r="M16">
            <v>34</v>
          </cell>
          <cell r="N16" t="str">
            <v>4 - Zona de riesgo Alta</v>
          </cell>
          <cell r="O16"/>
          <cell r="P16"/>
          <cell r="Q16" t="str">
            <v>Reducir el riesgo</v>
          </cell>
        </row>
        <row r="17">
          <cell r="H17" t="str">
            <v>1-Muy baja</v>
          </cell>
          <cell r="I17">
            <v>1</v>
          </cell>
          <cell r="J17">
            <v>30</v>
          </cell>
          <cell r="K17" t="str">
            <v xml:space="preserve">5 Catastrófico </v>
          </cell>
          <cell r="L17">
            <v>5</v>
          </cell>
          <cell r="M17">
            <v>35</v>
          </cell>
          <cell r="N17" t="str">
            <v>5 - Zona de riesgo Extremo</v>
          </cell>
          <cell r="O17"/>
          <cell r="P17"/>
          <cell r="Q17" t="str">
            <v>Evitar o compartir el riesgo</v>
          </cell>
        </row>
        <row r="18">
          <cell r="H18" t="str">
            <v>2- Baja</v>
          </cell>
          <cell r="I18">
            <v>2</v>
          </cell>
          <cell r="J18">
            <v>42</v>
          </cell>
          <cell r="K18" t="str">
            <v>1 Insignificante</v>
          </cell>
          <cell r="L18">
            <v>1</v>
          </cell>
          <cell r="M18">
            <v>43</v>
          </cell>
          <cell r="N18" t="str">
            <v>1 - Zona de riesgo Baja</v>
          </cell>
          <cell r="O18"/>
          <cell r="P18"/>
          <cell r="Q18" t="str">
            <v>Aceptar el riesgo</v>
          </cell>
        </row>
        <row r="19">
          <cell r="H19" t="str">
            <v>2- Baja</v>
          </cell>
          <cell r="I19">
            <v>2</v>
          </cell>
          <cell r="J19">
            <v>42</v>
          </cell>
          <cell r="K19" t="str">
            <v>2 Menor</v>
          </cell>
          <cell r="L19">
            <v>2</v>
          </cell>
          <cell r="M19">
            <v>44</v>
          </cell>
          <cell r="N19" t="str">
            <v>2 - Zona de riesgo Moderada</v>
          </cell>
          <cell r="O19"/>
          <cell r="P19"/>
          <cell r="Q19" t="str">
            <v>Reducir el riesgo</v>
          </cell>
        </row>
        <row r="20">
          <cell r="H20" t="str">
            <v>2- Baja</v>
          </cell>
          <cell r="I20">
            <v>2</v>
          </cell>
          <cell r="J20">
            <v>42</v>
          </cell>
          <cell r="K20" t="str">
            <v>3 Moderado</v>
          </cell>
          <cell r="L20">
            <v>3</v>
          </cell>
          <cell r="M20">
            <v>45</v>
          </cell>
          <cell r="N20" t="str">
            <v>3 - Zona de riesgo Moderada</v>
          </cell>
          <cell r="O20"/>
          <cell r="P20"/>
          <cell r="Q20" t="str">
            <v>Reducir el riesgo</v>
          </cell>
        </row>
        <row r="21">
          <cell r="H21" t="str">
            <v>2- Baja</v>
          </cell>
          <cell r="I21">
            <v>2</v>
          </cell>
          <cell r="J21">
            <v>42</v>
          </cell>
          <cell r="K21" t="str">
            <v>4 Mayor</v>
          </cell>
          <cell r="L21">
            <v>4</v>
          </cell>
          <cell r="M21">
            <v>46</v>
          </cell>
          <cell r="N21" t="str">
            <v>4 - Zona de riesgo Alta</v>
          </cell>
          <cell r="O21"/>
          <cell r="P21"/>
          <cell r="Q21" t="str">
            <v>Reducir el riesgo</v>
          </cell>
        </row>
        <row r="22">
          <cell r="H22" t="str">
            <v>2- Baja</v>
          </cell>
          <cell r="I22">
            <v>2</v>
          </cell>
          <cell r="J22">
            <v>42</v>
          </cell>
          <cell r="K22" t="str">
            <v xml:space="preserve">5 Catastrófico </v>
          </cell>
          <cell r="L22">
            <v>5</v>
          </cell>
          <cell r="M22">
            <v>47</v>
          </cell>
          <cell r="N22" t="str">
            <v>5 - Zona de riesgo Extremo</v>
          </cell>
          <cell r="O22"/>
          <cell r="P22"/>
          <cell r="Q22" t="str">
            <v>Evitar o compartir el riesgo</v>
          </cell>
          <cell r="X22" t="str">
            <v>Probabilidad</v>
          </cell>
        </row>
        <row r="23">
          <cell r="H23" t="str">
            <v>3- Media</v>
          </cell>
          <cell r="I23">
            <v>3</v>
          </cell>
          <cell r="J23">
            <v>52</v>
          </cell>
          <cell r="K23" t="str">
            <v>1 Leve</v>
          </cell>
          <cell r="L23">
            <v>1</v>
          </cell>
          <cell r="M23">
            <v>53</v>
          </cell>
          <cell r="N23" t="str">
            <v>1 - Zona de riesgo Moderada</v>
          </cell>
          <cell r="O23"/>
          <cell r="P23"/>
          <cell r="Q23" t="str">
            <v>Reducir el riesgo</v>
          </cell>
          <cell r="W23">
            <v>0.01</v>
          </cell>
          <cell r="X23"/>
        </row>
        <row r="24">
          <cell r="H24" t="str">
            <v>3- Media</v>
          </cell>
          <cell r="I24">
            <v>3</v>
          </cell>
          <cell r="J24">
            <v>52</v>
          </cell>
          <cell r="K24" t="str">
            <v>2 Menor</v>
          </cell>
          <cell r="L24">
            <v>2</v>
          </cell>
          <cell r="M24">
            <v>54</v>
          </cell>
          <cell r="N24" t="str">
            <v>2 - Zona de riesgo Moderada</v>
          </cell>
          <cell r="O24"/>
          <cell r="P24"/>
          <cell r="Q24" t="str">
            <v>Reducir el riesgo</v>
          </cell>
          <cell r="W24">
            <v>0.02</v>
          </cell>
          <cell r="X24" t="str">
            <v>Muy Baja - 20%</v>
          </cell>
          <cell r="Y24" t="str">
            <v>1 Leve</v>
          </cell>
        </row>
        <row r="25">
          <cell r="H25" t="str">
            <v>3- Media</v>
          </cell>
          <cell r="I25">
            <v>3</v>
          </cell>
          <cell r="J25">
            <v>52</v>
          </cell>
          <cell r="K25" t="str">
            <v>3 Moderado</v>
          </cell>
          <cell r="L25">
            <v>3</v>
          </cell>
          <cell r="M25">
            <v>55</v>
          </cell>
          <cell r="N25" t="str">
            <v>3 - Zona de riesgo Moderada</v>
          </cell>
          <cell r="O25"/>
          <cell r="P25"/>
          <cell r="Q25" t="str">
            <v>Reducir el riesgo</v>
          </cell>
          <cell r="W25">
            <v>0.03</v>
          </cell>
          <cell r="X25" t="str">
            <v>Muy Baja - 20%</v>
          </cell>
          <cell r="Y25" t="str">
            <v>1 Leve</v>
          </cell>
        </row>
        <row r="26">
          <cell r="H26" t="str">
            <v>3- Media</v>
          </cell>
          <cell r="I26">
            <v>3</v>
          </cell>
          <cell r="J26">
            <v>52</v>
          </cell>
          <cell r="K26" t="str">
            <v>4 Mayor</v>
          </cell>
          <cell r="L26">
            <v>4</v>
          </cell>
          <cell r="M26">
            <v>56</v>
          </cell>
          <cell r="N26" t="str">
            <v>4 - Zona de riesgo Alta</v>
          </cell>
          <cell r="O26"/>
          <cell r="P26"/>
          <cell r="Q26" t="str">
            <v>Reducir el riesgo</v>
          </cell>
          <cell r="W26">
            <v>0.04</v>
          </cell>
          <cell r="X26" t="str">
            <v>Muy Baja - 20%</v>
          </cell>
          <cell r="Y26" t="str">
            <v>1 Leve</v>
          </cell>
        </row>
        <row r="27">
          <cell r="H27" t="str">
            <v>3- Media</v>
          </cell>
          <cell r="I27">
            <v>3</v>
          </cell>
          <cell r="J27">
            <v>52</v>
          </cell>
          <cell r="K27" t="str">
            <v xml:space="preserve">5 Catastrófico </v>
          </cell>
          <cell r="L27">
            <v>5</v>
          </cell>
          <cell r="M27">
            <v>57</v>
          </cell>
          <cell r="N27" t="str">
            <v>5 - Zona de riesgo Extremo</v>
          </cell>
          <cell r="O27"/>
          <cell r="P27"/>
          <cell r="Q27" t="str">
            <v>Evitar o compartir el riesgo</v>
          </cell>
          <cell r="W27">
            <v>0.05</v>
          </cell>
          <cell r="X27" t="str">
            <v>Muy Baja - 20%</v>
          </cell>
          <cell r="Y27" t="str">
            <v>1 Leve</v>
          </cell>
        </row>
        <row r="28">
          <cell r="H28" t="str">
            <v>4- Alta</v>
          </cell>
          <cell r="I28">
            <v>4</v>
          </cell>
          <cell r="J28">
            <v>63</v>
          </cell>
          <cell r="K28" t="str">
            <v>1 Leve</v>
          </cell>
          <cell r="L28">
            <v>1</v>
          </cell>
          <cell r="M28">
            <v>64</v>
          </cell>
          <cell r="N28" t="str">
            <v>1 - Zona de riesgo Moderada</v>
          </cell>
          <cell r="O28"/>
          <cell r="P28"/>
          <cell r="Q28" t="str">
            <v>Reducir el riesgo</v>
          </cell>
          <cell r="W28">
            <v>0.06</v>
          </cell>
          <cell r="X28" t="str">
            <v>Muy Baja - 20%</v>
          </cell>
          <cell r="Y28" t="str">
            <v>1 Leve</v>
          </cell>
        </row>
        <row r="29">
          <cell r="H29" t="str">
            <v>4- Alta</v>
          </cell>
          <cell r="I29">
            <v>4</v>
          </cell>
          <cell r="J29">
            <v>63</v>
          </cell>
          <cell r="K29" t="str">
            <v>2 Menor</v>
          </cell>
          <cell r="L29">
            <v>2</v>
          </cell>
          <cell r="M29">
            <v>65</v>
          </cell>
          <cell r="N29" t="str">
            <v>2 - Zona de riesgo Moderada</v>
          </cell>
          <cell r="O29"/>
          <cell r="P29"/>
          <cell r="Q29" t="str">
            <v>Reducir el riesgo</v>
          </cell>
          <cell r="W29">
            <v>7.0000000000000007E-2</v>
          </cell>
          <cell r="X29" t="str">
            <v>Muy Baja - 20%</v>
          </cell>
          <cell r="Y29" t="str">
            <v>1 Leve</v>
          </cell>
        </row>
        <row r="30">
          <cell r="H30" t="str">
            <v>4- Alta</v>
          </cell>
          <cell r="I30">
            <v>4</v>
          </cell>
          <cell r="J30">
            <v>63</v>
          </cell>
          <cell r="K30" t="str">
            <v>3 Moderado</v>
          </cell>
          <cell r="L30">
            <v>3</v>
          </cell>
          <cell r="M30">
            <v>66</v>
          </cell>
          <cell r="N30" t="str">
            <v>3 - Zona de riesgo Alta</v>
          </cell>
          <cell r="O30"/>
          <cell r="P30"/>
          <cell r="Q30" t="str">
            <v>Reducir el riesgo</v>
          </cell>
          <cell r="W30">
            <v>0.08</v>
          </cell>
          <cell r="X30" t="str">
            <v>Muy Baja - 20%</v>
          </cell>
          <cell r="Y30" t="str">
            <v>1 Leve</v>
          </cell>
        </row>
        <row r="31">
          <cell r="H31" t="str">
            <v>4- Alta</v>
          </cell>
          <cell r="I31">
            <v>4</v>
          </cell>
          <cell r="J31">
            <v>63</v>
          </cell>
          <cell r="K31" t="str">
            <v>4 Mayor</v>
          </cell>
          <cell r="L31">
            <v>4</v>
          </cell>
          <cell r="M31">
            <v>67</v>
          </cell>
          <cell r="N31" t="str">
            <v>4 - Zona de riesgo Alta</v>
          </cell>
          <cell r="O31"/>
          <cell r="P31"/>
          <cell r="Q31" t="str">
            <v>Reducir el riesgo</v>
          </cell>
          <cell r="W31">
            <v>0.09</v>
          </cell>
          <cell r="X31" t="str">
            <v>Muy Baja - 20%</v>
          </cell>
          <cell r="Y31" t="str">
            <v>1 Leve</v>
          </cell>
        </row>
        <row r="32">
          <cell r="H32" t="str">
            <v>4- Alta</v>
          </cell>
          <cell r="I32">
            <v>4</v>
          </cell>
          <cell r="J32">
            <v>63</v>
          </cell>
          <cell r="K32" t="str">
            <v xml:space="preserve">5 Catastrófico </v>
          </cell>
          <cell r="L32">
            <v>5</v>
          </cell>
          <cell r="M32">
            <v>68</v>
          </cell>
          <cell r="N32" t="str">
            <v>5 - Zona de riesgo Extremo</v>
          </cell>
          <cell r="O32"/>
          <cell r="P32"/>
          <cell r="Q32" t="str">
            <v>Evitar o compartir el riesgo</v>
          </cell>
          <cell r="S32" t="str">
            <v>Valoración Impacto</v>
          </cell>
          <cell r="T32" t="str">
            <v>%</v>
          </cell>
          <cell r="W32">
            <v>0.1</v>
          </cell>
          <cell r="X32" t="str">
            <v>Muy Baja - 20%</v>
          </cell>
          <cell r="Y32" t="str">
            <v>1 Leve</v>
          </cell>
        </row>
        <row r="33">
          <cell r="H33" t="str">
            <v>5 - Muy Alta</v>
          </cell>
          <cell r="I33">
            <v>5</v>
          </cell>
          <cell r="J33">
            <v>74</v>
          </cell>
          <cell r="K33" t="str">
            <v>1 Leve</v>
          </cell>
          <cell r="L33">
            <v>1</v>
          </cell>
          <cell r="M33">
            <v>75</v>
          </cell>
          <cell r="N33" t="str">
            <v>1 - Zona de riesgo Alta</v>
          </cell>
          <cell r="O33"/>
          <cell r="P33"/>
          <cell r="Q33" t="str">
            <v>Reducir el riesgo</v>
          </cell>
          <cell r="S33"/>
          <cell r="T33"/>
          <cell r="W33">
            <v>0.11</v>
          </cell>
          <cell r="X33" t="str">
            <v>Muy Baja - 20%</v>
          </cell>
          <cell r="Y33" t="str">
            <v>1 Leve</v>
          </cell>
        </row>
        <row r="34">
          <cell r="H34" t="str">
            <v>6 - Muy Alta</v>
          </cell>
          <cell r="I34">
            <v>5</v>
          </cell>
          <cell r="J34">
            <v>74</v>
          </cell>
          <cell r="K34" t="str">
            <v>2 Menor</v>
          </cell>
          <cell r="L34">
            <v>2</v>
          </cell>
          <cell r="M34">
            <v>76</v>
          </cell>
          <cell r="N34" t="str">
            <v>2 - Zona de riesgo Alta</v>
          </cell>
          <cell r="O34"/>
          <cell r="P34"/>
          <cell r="Q34" t="str">
            <v>Reducir el riesgo</v>
          </cell>
          <cell r="S34" t="str">
            <v>1 Leve</v>
          </cell>
          <cell r="T34">
            <v>0.2</v>
          </cell>
          <cell r="W34">
            <v>0.12</v>
          </cell>
          <cell r="X34" t="str">
            <v>Muy Baja - 20%</v>
          </cell>
          <cell r="Y34" t="str">
            <v>1 Leve</v>
          </cell>
        </row>
        <row r="35">
          <cell r="H35" t="str">
            <v>7 - Muy Alta</v>
          </cell>
          <cell r="I35">
            <v>5</v>
          </cell>
          <cell r="J35">
            <v>74</v>
          </cell>
          <cell r="K35" t="str">
            <v>3 Moderado</v>
          </cell>
          <cell r="L35">
            <v>3</v>
          </cell>
          <cell r="M35">
            <v>77</v>
          </cell>
          <cell r="N35" t="str">
            <v>3 - Zona de riesgo Alta</v>
          </cell>
          <cell r="O35"/>
          <cell r="P35"/>
          <cell r="Q35" t="str">
            <v>Reducir el riesgo</v>
          </cell>
          <cell r="S35" t="str">
            <v>2 Menor</v>
          </cell>
          <cell r="T35">
            <v>0.4</v>
          </cell>
          <cell r="W35">
            <v>0.13</v>
          </cell>
          <cell r="X35" t="str">
            <v>Muy Baja - 20%</v>
          </cell>
          <cell r="Y35" t="str">
            <v>1 Leve</v>
          </cell>
        </row>
        <row r="36">
          <cell r="H36" t="str">
            <v>8 - Muy Alta</v>
          </cell>
          <cell r="I36">
            <v>5</v>
          </cell>
          <cell r="J36">
            <v>74</v>
          </cell>
          <cell r="K36" t="str">
            <v>4 Mayor</v>
          </cell>
          <cell r="L36">
            <v>4</v>
          </cell>
          <cell r="M36">
            <v>78</v>
          </cell>
          <cell r="N36" t="str">
            <v>4 - Zona de riesgo Alta</v>
          </cell>
          <cell r="O36"/>
          <cell r="P36"/>
          <cell r="Q36" t="str">
            <v>Reducir el riesgo</v>
          </cell>
          <cell r="S36" t="str">
            <v>3 Moderado</v>
          </cell>
          <cell r="T36">
            <v>0.6</v>
          </cell>
          <cell r="W36">
            <v>0.14000000000000001</v>
          </cell>
          <cell r="X36" t="str">
            <v>Muy Baja - 20%</v>
          </cell>
          <cell r="Y36" t="str">
            <v>1 Leve</v>
          </cell>
        </row>
        <row r="37">
          <cell r="H37" t="str">
            <v>9 - Muy Alta</v>
          </cell>
          <cell r="I37">
            <v>5</v>
          </cell>
          <cell r="J37">
            <v>74</v>
          </cell>
          <cell r="K37" t="str">
            <v xml:space="preserve">5 Catastrófico </v>
          </cell>
          <cell r="L37">
            <v>5</v>
          </cell>
          <cell r="M37">
            <v>79</v>
          </cell>
          <cell r="N37" t="str">
            <v>5 - Zona de riesgo Extremo</v>
          </cell>
          <cell r="O37"/>
          <cell r="P37"/>
          <cell r="Q37" t="str">
            <v>Evitar o compartir el riesgo</v>
          </cell>
          <cell r="S37" t="str">
            <v>4 Mayor</v>
          </cell>
          <cell r="T37">
            <v>0.8</v>
          </cell>
          <cell r="W37">
            <v>0.15</v>
          </cell>
          <cell r="X37" t="str">
            <v>Muy Baja - 20%</v>
          </cell>
          <cell r="Y37" t="str">
            <v>1 Leve</v>
          </cell>
        </row>
        <row r="38">
          <cell r="S38" t="str">
            <v xml:space="preserve">5 Catastrófico </v>
          </cell>
          <cell r="T38">
            <v>1</v>
          </cell>
          <cell r="W38">
            <v>0.16</v>
          </cell>
          <cell r="X38" t="str">
            <v>Muy Baja - 20%</v>
          </cell>
          <cell r="Y38" t="str">
            <v>1 Leve</v>
          </cell>
        </row>
        <row r="39">
          <cell r="W39">
            <v>0.17</v>
          </cell>
          <cell r="X39" t="str">
            <v>Muy Baja - 20%</v>
          </cell>
          <cell r="Y39" t="str">
            <v>1 Leve</v>
          </cell>
        </row>
        <row r="40">
          <cell r="W40">
            <v>0.18</v>
          </cell>
          <cell r="X40" t="str">
            <v>Muy Baja - 20%</v>
          </cell>
          <cell r="Y40" t="str">
            <v>1 Leve</v>
          </cell>
        </row>
        <row r="41">
          <cell r="W41">
            <v>0.19</v>
          </cell>
          <cell r="X41" t="str">
            <v>Muy Baja - 20%</v>
          </cell>
          <cell r="Y41" t="str">
            <v>1 Leve</v>
          </cell>
        </row>
        <row r="42">
          <cell r="W42">
            <v>0.2</v>
          </cell>
          <cell r="X42" t="str">
            <v>Muy Baja - 20%</v>
          </cell>
          <cell r="Y42" t="str">
            <v>1 Leve</v>
          </cell>
        </row>
        <row r="43">
          <cell r="W43">
            <v>0.21</v>
          </cell>
          <cell r="X43" t="str">
            <v>Baja - 40%</v>
          </cell>
          <cell r="Y43" t="str">
            <v>2 Menor</v>
          </cell>
        </row>
        <row r="44">
          <cell r="W44">
            <v>0.22</v>
          </cell>
          <cell r="X44" t="str">
            <v>Baja - 40%</v>
          </cell>
          <cell r="Y44" t="str">
            <v>2 Menor</v>
          </cell>
        </row>
        <row r="45">
          <cell r="W45">
            <v>0.23</v>
          </cell>
          <cell r="X45" t="str">
            <v>Baja - 40%</v>
          </cell>
          <cell r="Y45" t="str">
            <v>2 Menor</v>
          </cell>
        </row>
        <row r="46">
          <cell r="W46">
            <v>0.24</v>
          </cell>
          <cell r="X46" t="str">
            <v>Baja - 40%</v>
          </cell>
          <cell r="Y46" t="str">
            <v>2 Menor</v>
          </cell>
        </row>
        <row r="47">
          <cell r="W47">
            <v>0.25</v>
          </cell>
          <cell r="X47" t="str">
            <v>Baja - 40%</v>
          </cell>
          <cell r="Y47" t="str">
            <v>2 Menor</v>
          </cell>
        </row>
        <row r="48">
          <cell r="W48">
            <v>0.26</v>
          </cell>
          <cell r="X48" t="str">
            <v>Baja - 40%</v>
          </cell>
          <cell r="Y48" t="str">
            <v>2 Menor</v>
          </cell>
        </row>
        <row r="49">
          <cell r="W49">
            <v>0.27</v>
          </cell>
          <cell r="X49" t="str">
            <v>Baja - 40%</v>
          </cell>
          <cell r="Y49" t="str">
            <v>2 Menor</v>
          </cell>
        </row>
        <row r="50">
          <cell r="W50">
            <v>0.28000000000000003</v>
          </cell>
          <cell r="X50" t="str">
            <v>Baja - 40%</v>
          </cell>
          <cell r="Y50" t="str">
            <v>2 Menor</v>
          </cell>
        </row>
        <row r="51">
          <cell r="W51">
            <v>0.28999999999999998</v>
          </cell>
          <cell r="X51" t="str">
            <v>Baja - 40%</v>
          </cell>
          <cell r="Y51" t="str">
            <v>2 Menor</v>
          </cell>
        </row>
        <row r="52">
          <cell r="W52">
            <v>0.3</v>
          </cell>
          <cell r="X52" t="str">
            <v>Baja - 40%</v>
          </cell>
          <cell r="Y52" t="str">
            <v>2 Menor</v>
          </cell>
        </row>
        <row r="53">
          <cell r="W53">
            <v>0.31</v>
          </cell>
          <cell r="X53" t="str">
            <v>Baja - 40%</v>
          </cell>
          <cell r="Y53" t="str">
            <v>2 Menor</v>
          </cell>
        </row>
        <row r="54">
          <cell r="W54">
            <v>0.32</v>
          </cell>
          <cell r="X54" t="str">
            <v>Baja - 40%</v>
          </cell>
          <cell r="Y54" t="str">
            <v>2 Menor</v>
          </cell>
        </row>
        <row r="55">
          <cell r="W55">
            <v>0.33</v>
          </cell>
          <cell r="X55" t="str">
            <v>Baja - 40%</v>
          </cell>
          <cell r="Y55" t="str">
            <v>2 Menor</v>
          </cell>
        </row>
        <row r="56">
          <cell r="W56">
            <v>0.34</v>
          </cell>
          <cell r="X56" t="str">
            <v>Baja - 40%</v>
          </cell>
          <cell r="Y56" t="str">
            <v>2 Menor</v>
          </cell>
        </row>
        <row r="57">
          <cell r="W57">
            <v>0.35</v>
          </cell>
          <cell r="X57" t="str">
            <v>Baja - 40%</v>
          </cell>
          <cell r="Y57" t="str">
            <v>2 Menor</v>
          </cell>
        </row>
        <row r="58">
          <cell r="W58">
            <v>0.36</v>
          </cell>
          <cell r="X58" t="str">
            <v>Baja - 40%</v>
          </cell>
          <cell r="Y58" t="str">
            <v>2 Menor</v>
          </cell>
        </row>
        <row r="59">
          <cell r="W59">
            <v>0.37</v>
          </cell>
          <cell r="X59" t="str">
            <v>Baja - 40%</v>
          </cell>
          <cell r="Y59" t="str">
            <v>2 Menor</v>
          </cell>
        </row>
        <row r="60">
          <cell r="W60">
            <v>0.38</v>
          </cell>
          <cell r="X60" t="str">
            <v>Baja - 40%</v>
          </cell>
          <cell r="Y60" t="str">
            <v>2 Menor</v>
          </cell>
        </row>
        <row r="61">
          <cell r="D61" t="str">
            <v>Preventivo</v>
          </cell>
          <cell r="E61">
            <v>0.25</v>
          </cell>
          <cell r="F61"/>
          <cell r="W61">
            <v>0.39</v>
          </cell>
          <cell r="X61" t="str">
            <v>Baja - 40%</v>
          </cell>
          <cell r="Y61" t="str">
            <v>2 Menor</v>
          </cell>
        </row>
        <row r="62">
          <cell r="D62" t="str">
            <v xml:space="preserve">Detectivo </v>
          </cell>
          <cell r="E62">
            <v>0.15</v>
          </cell>
          <cell r="F62"/>
          <cell r="W62">
            <v>0.4</v>
          </cell>
          <cell r="X62" t="str">
            <v>Baja - 40%</v>
          </cell>
          <cell r="Y62" t="str">
            <v>2 Menor</v>
          </cell>
        </row>
        <row r="63">
          <cell r="D63" t="str">
            <v>Correctivo</v>
          </cell>
          <cell r="E63">
            <v>0.1</v>
          </cell>
          <cell r="W63">
            <v>0.41</v>
          </cell>
          <cell r="X63" t="str">
            <v>Media - 60%</v>
          </cell>
          <cell r="Y63" t="str">
            <v>3 Moderado</v>
          </cell>
        </row>
        <row r="64">
          <cell r="W64">
            <v>0.42</v>
          </cell>
          <cell r="X64" t="str">
            <v>Media - 60%</v>
          </cell>
          <cell r="Y64" t="str">
            <v>3 Moderado</v>
          </cell>
        </row>
        <row r="65">
          <cell r="W65">
            <v>0.43</v>
          </cell>
          <cell r="X65" t="str">
            <v>Media - 60%</v>
          </cell>
          <cell r="Y65" t="str">
            <v>3 Moderado</v>
          </cell>
        </row>
        <row r="66">
          <cell r="D66" t="str">
            <v>Automático</v>
          </cell>
          <cell r="E66">
            <v>0.25</v>
          </cell>
          <cell r="W66">
            <v>0.44</v>
          </cell>
          <cell r="X66" t="str">
            <v>Media - 60%</v>
          </cell>
          <cell r="Y66" t="str">
            <v>3 Moderado</v>
          </cell>
        </row>
        <row r="67">
          <cell r="D67" t="str">
            <v>Manual</v>
          </cell>
          <cell r="E67">
            <v>0.15</v>
          </cell>
          <cell r="W67">
            <v>0.45</v>
          </cell>
          <cell r="X67" t="str">
            <v>Media - 60%</v>
          </cell>
          <cell r="Y67" t="str">
            <v>3 Moderado</v>
          </cell>
        </row>
        <row r="68">
          <cell r="W68">
            <v>0.46</v>
          </cell>
          <cell r="X68" t="str">
            <v>Media - 60%</v>
          </cell>
          <cell r="Y68" t="str">
            <v>3 Moderado</v>
          </cell>
        </row>
        <row r="69">
          <cell r="W69">
            <v>0.47</v>
          </cell>
          <cell r="X69" t="str">
            <v>Media - 60%</v>
          </cell>
          <cell r="Y69" t="str">
            <v>3 Moderado</v>
          </cell>
        </row>
        <row r="70">
          <cell r="W70">
            <v>0.48</v>
          </cell>
          <cell r="X70" t="str">
            <v>Media - 60%</v>
          </cell>
          <cell r="Y70" t="str">
            <v>3 Moderado</v>
          </cell>
        </row>
        <row r="71">
          <cell r="W71">
            <v>0.49</v>
          </cell>
          <cell r="X71" t="str">
            <v>Media - 60%</v>
          </cell>
          <cell r="Y71" t="str">
            <v>3 Moderado</v>
          </cell>
        </row>
        <row r="72">
          <cell r="W72">
            <v>0.5</v>
          </cell>
          <cell r="X72" t="str">
            <v>Media - 60%</v>
          </cell>
          <cell r="Y72" t="str">
            <v>3 Moderado</v>
          </cell>
        </row>
        <row r="73">
          <cell r="W73">
            <v>0.51</v>
          </cell>
          <cell r="X73" t="str">
            <v>Media - 60%</v>
          </cell>
          <cell r="Y73" t="str">
            <v>3 Moderado</v>
          </cell>
        </row>
        <row r="74">
          <cell r="W74">
            <v>0.52</v>
          </cell>
          <cell r="X74" t="str">
            <v>Media - 60%</v>
          </cell>
          <cell r="Y74" t="str">
            <v>3 Moderado</v>
          </cell>
        </row>
        <row r="75">
          <cell r="W75">
            <v>0.53</v>
          </cell>
          <cell r="X75" t="str">
            <v>Media - 60%</v>
          </cell>
          <cell r="Y75" t="str">
            <v>3 Moderado</v>
          </cell>
        </row>
        <row r="76">
          <cell r="W76">
            <v>0.54</v>
          </cell>
          <cell r="X76" t="str">
            <v>Media - 60%</v>
          </cell>
          <cell r="Y76" t="str">
            <v>3 Moderado</v>
          </cell>
        </row>
        <row r="77">
          <cell r="W77">
            <v>0.55000000000000004</v>
          </cell>
          <cell r="X77" t="str">
            <v>Media - 60%</v>
          </cell>
          <cell r="Y77" t="str">
            <v>3 Moderado</v>
          </cell>
        </row>
        <row r="78">
          <cell r="W78">
            <v>0.56000000000000005</v>
          </cell>
          <cell r="X78" t="str">
            <v>Media - 60%</v>
          </cell>
          <cell r="Y78" t="str">
            <v>3 Moderado</v>
          </cell>
        </row>
        <row r="79">
          <cell r="W79">
            <v>0.56999999999999995</v>
          </cell>
          <cell r="X79" t="str">
            <v>Media - 60%</v>
          </cell>
          <cell r="Y79" t="str">
            <v>3 Moderado</v>
          </cell>
        </row>
        <row r="80">
          <cell r="W80">
            <v>0.57999999999999996</v>
          </cell>
          <cell r="X80" t="str">
            <v>Media - 60%</v>
          </cell>
          <cell r="Y80" t="str">
            <v>3 Moderado</v>
          </cell>
        </row>
        <row r="81">
          <cell r="W81">
            <v>0.59</v>
          </cell>
          <cell r="X81" t="str">
            <v>Media - 60%</v>
          </cell>
          <cell r="Y81" t="str">
            <v>3 Moderado</v>
          </cell>
        </row>
        <row r="82">
          <cell r="W82">
            <v>0.6</v>
          </cell>
          <cell r="X82" t="str">
            <v>Media - 60%</v>
          </cell>
          <cell r="Y82" t="str">
            <v>3 Moderado</v>
          </cell>
        </row>
        <row r="83">
          <cell r="W83">
            <v>0.61</v>
          </cell>
          <cell r="X83" t="str">
            <v>Alta - 80%</v>
          </cell>
          <cell r="Y83" t="str">
            <v>4 Mayor</v>
          </cell>
        </row>
        <row r="84">
          <cell r="W84">
            <v>0.62</v>
          </cell>
          <cell r="X84" t="str">
            <v>Alta - 80%</v>
          </cell>
          <cell r="Y84" t="str">
            <v>4 Mayor</v>
          </cell>
        </row>
        <row r="85">
          <cell r="W85">
            <v>0.63</v>
          </cell>
          <cell r="X85" t="str">
            <v>Alta - 80%</v>
          </cell>
          <cell r="Y85" t="str">
            <v>4 Mayor</v>
          </cell>
        </row>
        <row r="86">
          <cell r="W86">
            <v>0.64</v>
          </cell>
          <cell r="X86" t="str">
            <v>Alta - 80%</v>
          </cell>
          <cell r="Y86" t="str">
            <v>4 Mayor</v>
          </cell>
        </row>
        <row r="87">
          <cell r="W87">
            <v>0.65</v>
          </cell>
          <cell r="X87" t="str">
            <v>Alta - 80%</v>
          </cell>
          <cell r="Y87" t="str">
            <v>4 Mayor</v>
          </cell>
        </row>
        <row r="88">
          <cell r="W88">
            <v>0.66</v>
          </cell>
          <cell r="X88" t="str">
            <v>Alta - 80%</v>
          </cell>
          <cell r="Y88" t="str">
            <v>4 Mayor</v>
          </cell>
        </row>
        <row r="89">
          <cell r="W89">
            <v>0.67</v>
          </cell>
          <cell r="X89" t="str">
            <v>Alta - 80%</v>
          </cell>
          <cell r="Y89" t="str">
            <v>4 Mayor</v>
          </cell>
        </row>
        <row r="90">
          <cell r="W90">
            <v>0.68</v>
          </cell>
          <cell r="X90" t="str">
            <v>Alta - 80%</v>
          </cell>
          <cell r="Y90" t="str">
            <v>4 Mayor</v>
          </cell>
        </row>
        <row r="91">
          <cell r="W91">
            <v>0.69</v>
          </cell>
          <cell r="X91" t="str">
            <v>Alta - 80%</v>
          </cell>
          <cell r="Y91" t="str">
            <v>4 Mayor</v>
          </cell>
        </row>
        <row r="92">
          <cell r="W92">
            <v>0.7</v>
          </cell>
          <cell r="X92" t="str">
            <v>Alta - 80%</v>
          </cell>
          <cell r="Y92" t="str">
            <v>4 Mayor</v>
          </cell>
        </row>
        <row r="93">
          <cell r="W93">
            <v>0.71</v>
          </cell>
          <cell r="X93" t="str">
            <v>Alta - 80%</v>
          </cell>
          <cell r="Y93" t="str">
            <v>4 Mayor</v>
          </cell>
        </row>
        <row r="94">
          <cell r="W94">
            <v>0.72</v>
          </cell>
          <cell r="X94" t="str">
            <v>Alta - 80%</v>
          </cell>
          <cell r="Y94" t="str">
            <v>4 Mayor</v>
          </cell>
        </row>
        <row r="95">
          <cell r="W95">
            <v>0.73</v>
          </cell>
          <cell r="X95" t="str">
            <v>Alta - 80%</v>
          </cell>
          <cell r="Y95" t="str">
            <v>4 Mayor</v>
          </cell>
        </row>
        <row r="96">
          <cell r="W96">
            <v>0.74</v>
          </cell>
          <cell r="X96" t="str">
            <v>Alta - 80%</v>
          </cell>
          <cell r="Y96" t="str">
            <v>4 Mayor</v>
          </cell>
        </row>
        <row r="97">
          <cell r="W97">
            <v>0.75</v>
          </cell>
          <cell r="X97" t="str">
            <v>Alta - 80%</v>
          </cell>
          <cell r="Y97" t="str">
            <v>4 Mayor</v>
          </cell>
        </row>
        <row r="98">
          <cell r="W98">
            <v>0.76</v>
          </cell>
          <cell r="X98" t="str">
            <v>Alta - 80%</v>
          </cell>
          <cell r="Y98" t="str">
            <v>4 Mayor</v>
          </cell>
        </row>
        <row r="99">
          <cell r="W99">
            <v>0.77</v>
          </cell>
          <cell r="X99" t="str">
            <v>Alta - 80%</v>
          </cell>
          <cell r="Y99" t="str">
            <v>4 Mayor</v>
          </cell>
        </row>
        <row r="100">
          <cell r="W100">
            <v>0.78</v>
          </cell>
          <cell r="X100" t="str">
            <v>Alta - 80%</v>
          </cell>
          <cell r="Y100" t="str">
            <v>4 Mayor</v>
          </cell>
        </row>
        <row r="101">
          <cell r="W101">
            <v>0.79</v>
          </cell>
          <cell r="X101" t="str">
            <v>Alta - 80%</v>
          </cell>
          <cell r="Y101" t="str">
            <v>4 Mayor</v>
          </cell>
        </row>
        <row r="102">
          <cell r="W102">
            <v>0.8</v>
          </cell>
          <cell r="X102" t="str">
            <v>Alta - 80%</v>
          </cell>
          <cell r="Y102" t="str">
            <v>4 Mayor</v>
          </cell>
        </row>
        <row r="103">
          <cell r="W103">
            <v>0.81</v>
          </cell>
          <cell r="X103" t="str">
            <v>Muy Alta - 100%</v>
          </cell>
          <cell r="Y103" t="str">
            <v xml:space="preserve">5 Catastrófico </v>
          </cell>
        </row>
        <row r="104">
          <cell r="W104">
            <v>0.82</v>
          </cell>
          <cell r="X104" t="str">
            <v>Muy Alta - 100%</v>
          </cell>
          <cell r="Y104" t="str">
            <v xml:space="preserve">5 Catastrófico </v>
          </cell>
        </row>
        <row r="105">
          <cell r="W105">
            <v>0.83</v>
          </cell>
          <cell r="X105" t="str">
            <v>Muy Alta - 100%</v>
          </cell>
          <cell r="Y105" t="str">
            <v xml:space="preserve">5 Catastrófico </v>
          </cell>
        </row>
        <row r="106">
          <cell r="W106">
            <v>0.84</v>
          </cell>
          <cell r="X106" t="str">
            <v>Muy Alta - 100%</v>
          </cell>
          <cell r="Y106" t="str">
            <v xml:space="preserve">5 Catastrófico </v>
          </cell>
        </row>
        <row r="107">
          <cell r="W107">
            <v>0.85</v>
          </cell>
          <cell r="X107" t="str">
            <v>Muy Alta - 100%</v>
          </cell>
          <cell r="Y107" t="str">
            <v xml:space="preserve">5 Catastrófico </v>
          </cell>
        </row>
        <row r="108">
          <cell r="W108">
            <v>0.86</v>
          </cell>
          <cell r="X108" t="str">
            <v>Muy Alta - 100%</v>
          </cell>
          <cell r="Y108" t="str">
            <v xml:space="preserve">5 Catastrófico </v>
          </cell>
        </row>
        <row r="109">
          <cell r="W109">
            <v>0.87</v>
          </cell>
          <cell r="X109" t="str">
            <v>Muy Alta - 100%</v>
          </cell>
          <cell r="Y109" t="str">
            <v xml:space="preserve">5 Catastrófico </v>
          </cell>
        </row>
        <row r="110">
          <cell r="W110">
            <v>0.88</v>
          </cell>
          <cell r="X110" t="str">
            <v>Muy Alta - 100%</v>
          </cell>
          <cell r="Y110" t="str">
            <v xml:space="preserve">5 Catastrófico </v>
          </cell>
        </row>
        <row r="111">
          <cell r="W111">
            <v>0.89</v>
          </cell>
          <cell r="X111" t="str">
            <v>Muy Alta - 100%</v>
          </cell>
          <cell r="Y111" t="str">
            <v xml:space="preserve">5 Catastrófico </v>
          </cell>
        </row>
        <row r="112">
          <cell r="W112">
            <v>0.9</v>
          </cell>
          <cell r="X112" t="str">
            <v>Muy Alta - 100%</v>
          </cell>
          <cell r="Y112" t="str">
            <v xml:space="preserve">5 Catastrófico </v>
          </cell>
        </row>
        <row r="113">
          <cell r="W113">
            <v>0.91</v>
          </cell>
          <cell r="X113" t="str">
            <v>Muy Alta - 100%</v>
          </cell>
          <cell r="Y113" t="str">
            <v xml:space="preserve">5 Catastrófico </v>
          </cell>
        </row>
        <row r="114">
          <cell r="W114">
            <v>0.92</v>
          </cell>
          <cell r="X114" t="str">
            <v>Muy Alta - 100%</v>
          </cell>
          <cell r="Y114" t="str">
            <v xml:space="preserve">5 Catastrófico </v>
          </cell>
        </row>
        <row r="115">
          <cell r="W115">
            <v>0.93</v>
          </cell>
          <cell r="X115" t="str">
            <v>Muy Alta - 100%</v>
          </cell>
          <cell r="Y115" t="str">
            <v xml:space="preserve">5 Catastrófico </v>
          </cell>
        </row>
        <row r="116">
          <cell r="W116">
            <v>0.94</v>
          </cell>
          <cell r="X116" t="str">
            <v>Muy Alta - 100%</v>
          </cell>
          <cell r="Y116" t="str">
            <v xml:space="preserve">5 Catastrófico </v>
          </cell>
        </row>
        <row r="117">
          <cell r="W117">
            <v>0.95</v>
          </cell>
          <cell r="X117" t="str">
            <v>Muy Alta - 100%</v>
          </cell>
          <cell r="Y117" t="str">
            <v xml:space="preserve">5 Catastrófico </v>
          </cell>
        </row>
        <row r="118">
          <cell r="W118">
            <v>0.96</v>
          </cell>
          <cell r="X118" t="str">
            <v>Muy Alta - 100%</v>
          </cell>
          <cell r="Y118" t="str">
            <v xml:space="preserve">5 Catastrófico </v>
          </cell>
        </row>
        <row r="119">
          <cell r="W119">
            <v>0.97</v>
          </cell>
          <cell r="X119" t="str">
            <v>Muy Alta - 100%</v>
          </cell>
          <cell r="Y119" t="str">
            <v xml:space="preserve">5 Catastrófico </v>
          </cell>
        </row>
        <row r="120">
          <cell r="W120">
            <v>0.98</v>
          </cell>
          <cell r="X120" t="str">
            <v>Muy Alta - 100%</v>
          </cell>
          <cell r="Y120" t="str">
            <v xml:space="preserve">5 Catastrófico </v>
          </cell>
        </row>
        <row r="121">
          <cell r="W121">
            <v>0.99</v>
          </cell>
          <cell r="X121" t="str">
            <v>Muy Alta - 100%</v>
          </cell>
          <cell r="Y121" t="str">
            <v xml:space="preserve">5 Catastrófico </v>
          </cell>
        </row>
        <row r="122">
          <cell r="W122">
            <v>1</v>
          </cell>
          <cell r="X122" t="str">
            <v>Muy Alta - 100%</v>
          </cell>
          <cell r="Y122" t="str">
            <v xml:space="preserve">5 Catastrófico </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po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pos"/>
    </sheetNames>
    <sheetDataSet>
      <sheetData sheetId="0">
        <row r="22">
          <cell r="X22" t="str">
            <v>Probabilidad</v>
          </cell>
        </row>
        <row r="23">
          <cell r="W23">
            <v>0.01</v>
          </cell>
          <cell r="X23"/>
        </row>
        <row r="24">
          <cell r="W24">
            <v>0.02</v>
          </cell>
          <cell r="X24" t="str">
            <v>Muy Baja - 20%</v>
          </cell>
          <cell r="Y24" t="str">
            <v>1 Leve</v>
          </cell>
        </row>
        <row r="25">
          <cell r="W25">
            <v>0.03</v>
          </cell>
          <cell r="X25" t="str">
            <v>Muy Baja - 20%</v>
          </cell>
          <cell r="Y25" t="str">
            <v>1 Leve</v>
          </cell>
        </row>
        <row r="26">
          <cell r="W26">
            <v>0.04</v>
          </cell>
          <cell r="X26" t="str">
            <v>Muy Baja - 20%</v>
          </cell>
          <cell r="Y26" t="str">
            <v>1 Leve</v>
          </cell>
        </row>
        <row r="27">
          <cell r="W27">
            <v>0.05</v>
          </cell>
          <cell r="X27" t="str">
            <v>Muy Baja - 20%</v>
          </cell>
          <cell r="Y27" t="str">
            <v>1 Leve</v>
          </cell>
        </row>
        <row r="28">
          <cell r="W28">
            <v>0.06</v>
          </cell>
          <cell r="X28" t="str">
            <v>Muy Baja - 20%</v>
          </cell>
          <cell r="Y28" t="str">
            <v>1 Leve</v>
          </cell>
        </row>
        <row r="29">
          <cell r="W29">
            <v>7.0000000000000007E-2</v>
          </cell>
          <cell r="X29" t="str">
            <v>Muy Baja - 20%</v>
          </cell>
          <cell r="Y29" t="str">
            <v>1 Leve</v>
          </cell>
        </row>
        <row r="30">
          <cell r="W30">
            <v>0.08</v>
          </cell>
          <cell r="X30" t="str">
            <v>Muy Baja - 20%</v>
          </cell>
          <cell r="Y30" t="str">
            <v>1 Leve</v>
          </cell>
        </row>
        <row r="31">
          <cell r="W31">
            <v>0.09</v>
          </cell>
          <cell r="X31" t="str">
            <v>Muy Baja - 20%</v>
          </cell>
          <cell r="Y31" t="str">
            <v>1 Leve</v>
          </cell>
        </row>
        <row r="32">
          <cell r="S32" t="str">
            <v>Valoración Impacto</v>
          </cell>
          <cell r="T32" t="str">
            <v>%</v>
          </cell>
          <cell r="W32">
            <v>0.1</v>
          </cell>
          <cell r="X32" t="str">
            <v>Muy Baja - 20%</v>
          </cell>
          <cell r="Y32" t="str">
            <v>1 Leve</v>
          </cell>
        </row>
        <row r="33">
          <cell r="S33"/>
          <cell r="T33"/>
          <cell r="W33">
            <v>0.11</v>
          </cell>
          <cell r="X33" t="str">
            <v>Muy Baja - 20%</v>
          </cell>
          <cell r="Y33" t="str">
            <v>1 Leve</v>
          </cell>
        </row>
        <row r="34">
          <cell r="S34" t="str">
            <v>1 Leve</v>
          </cell>
          <cell r="T34">
            <v>0.2</v>
          </cell>
          <cell r="W34">
            <v>0.12</v>
          </cell>
          <cell r="X34" t="str">
            <v>Muy Baja - 20%</v>
          </cell>
          <cell r="Y34" t="str">
            <v>1 Leve</v>
          </cell>
        </row>
        <row r="35">
          <cell r="S35" t="str">
            <v>2 Menor</v>
          </cell>
          <cell r="T35">
            <v>0.4</v>
          </cell>
          <cell r="W35">
            <v>0.13</v>
          </cell>
          <cell r="X35" t="str">
            <v>Muy Baja - 20%</v>
          </cell>
          <cell r="Y35" t="str">
            <v>1 Leve</v>
          </cell>
        </row>
        <row r="36">
          <cell r="S36" t="str">
            <v>3 Moderado</v>
          </cell>
          <cell r="T36">
            <v>0.6</v>
          </cell>
          <cell r="W36">
            <v>0.14000000000000001</v>
          </cell>
          <cell r="X36" t="str">
            <v>Muy Baja - 20%</v>
          </cell>
          <cell r="Y36" t="str">
            <v>1 Leve</v>
          </cell>
        </row>
        <row r="37">
          <cell r="S37" t="str">
            <v>4 Mayor</v>
          </cell>
          <cell r="T37">
            <v>0.8</v>
          </cell>
          <cell r="W37">
            <v>0.15</v>
          </cell>
          <cell r="X37" t="str">
            <v>Muy Baja - 20%</v>
          </cell>
          <cell r="Y37" t="str">
            <v>1 Leve</v>
          </cell>
        </row>
        <row r="38">
          <cell r="S38" t="str">
            <v xml:space="preserve">5 Catastrófico </v>
          </cell>
          <cell r="T38">
            <v>1</v>
          </cell>
          <cell r="W38">
            <v>0.16</v>
          </cell>
          <cell r="X38" t="str">
            <v>Muy Baja - 20%</v>
          </cell>
          <cell r="Y38" t="str">
            <v>1 Leve</v>
          </cell>
        </row>
        <row r="39">
          <cell r="W39">
            <v>0.17</v>
          </cell>
          <cell r="X39" t="str">
            <v>Muy Baja - 20%</v>
          </cell>
          <cell r="Y39" t="str">
            <v>1 Leve</v>
          </cell>
        </row>
        <row r="40">
          <cell r="W40">
            <v>0.18</v>
          </cell>
          <cell r="X40" t="str">
            <v>Muy Baja - 20%</v>
          </cell>
          <cell r="Y40" t="str">
            <v>1 Leve</v>
          </cell>
        </row>
        <row r="41">
          <cell r="W41">
            <v>0.19</v>
          </cell>
          <cell r="X41" t="str">
            <v>Muy Baja - 20%</v>
          </cell>
          <cell r="Y41" t="str">
            <v>1 Leve</v>
          </cell>
        </row>
        <row r="42">
          <cell r="W42">
            <v>0.2</v>
          </cell>
          <cell r="X42" t="str">
            <v>Muy Baja - 20%</v>
          </cell>
          <cell r="Y42" t="str">
            <v>1 Leve</v>
          </cell>
        </row>
        <row r="43">
          <cell r="W43">
            <v>0.21</v>
          </cell>
          <cell r="X43" t="str">
            <v>Baja - 40%</v>
          </cell>
          <cell r="Y43" t="str">
            <v>2 Menor</v>
          </cell>
        </row>
        <row r="44">
          <cell r="W44">
            <v>0.22</v>
          </cell>
          <cell r="X44" t="str">
            <v>Baja - 40%</v>
          </cell>
          <cell r="Y44" t="str">
            <v>2 Menor</v>
          </cell>
        </row>
        <row r="45">
          <cell r="W45">
            <v>0.23</v>
          </cell>
          <cell r="X45" t="str">
            <v>Baja - 40%</v>
          </cell>
          <cell r="Y45" t="str">
            <v>2 Menor</v>
          </cell>
        </row>
        <row r="46">
          <cell r="W46">
            <v>0.24</v>
          </cell>
          <cell r="X46" t="str">
            <v>Baja - 40%</v>
          </cell>
          <cell r="Y46" t="str">
            <v>2 Menor</v>
          </cell>
        </row>
        <row r="47">
          <cell r="W47">
            <v>0.25</v>
          </cell>
          <cell r="X47" t="str">
            <v>Baja - 40%</v>
          </cell>
          <cell r="Y47" t="str">
            <v>2 Menor</v>
          </cell>
        </row>
        <row r="48">
          <cell r="W48">
            <v>0.26</v>
          </cell>
          <cell r="X48" t="str">
            <v>Baja - 40%</v>
          </cell>
          <cell r="Y48" t="str">
            <v>2 Menor</v>
          </cell>
        </row>
        <row r="49">
          <cell r="W49">
            <v>0.27</v>
          </cell>
          <cell r="X49" t="str">
            <v>Baja - 40%</v>
          </cell>
          <cell r="Y49" t="str">
            <v>2 Menor</v>
          </cell>
        </row>
        <row r="50">
          <cell r="W50">
            <v>0.28000000000000003</v>
          </cell>
          <cell r="X50" t="str">
            <v>Baja - 40%</v>
          </cell>
          <cell r="Y50" t="str">
            <v>2 Menor</v>
          </cell>
        </row>
        <row r="51">
          <cell r="W51">
            <v>0.28999999999999998</v>
          </cell>
          <cell r="X51" t="str">
            <v>Baja - 40%</v>
          </cell>
          <cell r="Y51" t="str">
            <v>2 Menor</v>
          </cell>
        </row>
        <row r="52">
          <cell r="W52">
            <v>0.3</v>
          </cell>
          <cell r="X52" t="str">
            <v>Baja - 40%</v>
          </cell>
          <cell r="Y52" t="str">
            <v>2 Menor</v>
          </cell>
        </row>
        <row r="53">
          <cell r="W53">
            <v>0.31</v>
          </cell>
          <cell r="X53" t="str">
            <v>Baja - 40%</v>
          </cell>
          <cell r="Y53" t="str">
            <v>2 Menor</v>
          </cell>
        </row>
        <row r="54">
          <cell r="W54">
            <v>0.32</v>
          </cell>
          <cell r="X54" t="str">
            <v>Baja - 40%</v>
          </cell>
          <cell r="Y54" t="str">
            <v>2 Menor</v>
          </cell>
        </row>
        <row r="55">
          <cell r="W55">
            <v>0.33</v>
          </cell>
          <cell r="X55" t="str">
            <v>Baja - 40%</v>
          </cell>
          <cell r="Y55" t="str">
            <v>2 Menor</v>
          </cell>
        </row>
        <row r="56">
          <cell r="W56">
            <v>0.34</v>
          </cell>
          <cell r="X56" t="str">
            <v>Baja - 40%</v>
          </cell>
          <cell r="Y56" t="str">
            <v>2 Menor</v>
          </cell>
        </row>
        <row r="57">
          <cell r="W57">
            <v>0.35</v>
          </cell>
          <cell r="X57" t="str">
            <v>Baja - 40%</v>
          </cell>
          <cell r="Y57" t="str">
            <v>2 Menor</v>
          </cell>
        </row>
        <row r="58">
          <cell r="W58">
            <v>0.36</v>
          </cell>
          <cell r="X58" t="str">
            <v>Baja - 40%</v>
          </cell>
          <cell r="Y58" t="str">
            <v>2 Menor</v>
          </cell>
        </row>
        <row r="59">
          <cell r="W59">
            <v>0.37</v>
          </cell>
          <cell r="X59" t="str">
            <v>Baja - 40%</v>
          </cell>
          <cell r="Y59" t="str">
            <v>2 Menor</v>
          </cell>
        </row>
        <row r="60">
          <cell r="W60">
            <v>0.38</v>
          </cell>
          <cell r="X60" t="str">
            <v>Baja - 40%</v>
          </cell>
          <cell r="Y60" t="str">
            <v>2 Menor</v>
          </cell>
        </row>
        <row r="61">
          <cell r="W61">
            <v>0.39</v>
          </cell>
          <cell r="X61" t="str">
            <v>Baja - 40%</v>
          </cell>
          <cell r="Y61" t="str">
            <v>2 Menor</v>
          </cell>
        </row>
        <row r="62">
          <cell r="W62">
            <v>0.4</v>
          </cell>
          <cell r="X62" t="str">
            <v>Baja - 40%</v>
          </cell>
          <cell r="Y62" t="str">
            <v>2 Menor</v>
          </cell>
        </row>
        <row r="63">
          <cell r="W63">
            <v>0.41</v>
          </cell>
          <cell r="X63" t="str">
            <v>Media - 60%</v>
          </cell>
          <cell r="Y63" t="str">
            <v>3 Moderado</v>
          </cell>
        </row>
        <row r="64">
          <cell r="W64">
            <v>0.42</v>
          </cell>
          <cell r="X64" t="str">
            <v>Media - 60%</v>
          </cell>
          <cell r="Y64" t="str">
            <v>3 Moderado</v>
          </cell>
        </row>
        <row r="65">
          <cell r="W65">
            <v>0.43</v>
          </cell>
          <cell r="X65" t="str">
            <v>Media - 60%</v>
          </cell>
          <cell r="Y65" t="str">
            <v>3 Moderado</v>
          </cell>
        </row>
        <row r="66">
          <cell r="D66" t="str">
            <v>Automático</v>
          </cell>
          <cell r="E66">
            <v>0.25</v>
          </cell>
          <cell r="W66">
            <v>0.44</v>
          </cell>
          <cell r="X66" t="str">
            <v>Media - 60%</v>
          </cell>
          <cell r="Y66" t="str">
            <v>3 Moderado</v>
          </cell>
        </row>
        <row r="67">
          <cell r="D67" t="str">
            <v>Manual</v>
          </cell>
          <cell r="E67">
            <v>0.15</v>
          </cell>
          <cell r="W67">
            <v>0.45</v>
          </cell>
          <cell r="X67" t="str">
            <v>Media - 60%</v>
          </cell>
          <cell r="Y67" t="str">
            <v>3 Moderado</v>
          </cell>
        </row>
        <row r="68">
          <cell r="W68">
            <v>0.46</v>
          </cell>
          <cell r="X68" t="str">
            <v>Media - 60%</v>
          </cell>
          <cell r="Y68" t="str">
            <v>3 Moderado</v>
          </cell>
        </row>
        <row r="69">
          <cell r="W69">
            <v>0.47</v>
          </cell>
          <cell r="X69" t="str">
            <v>Media - 60%</v>
          </cell>
          <cell r="Y69" t="str">
            <v>3 Moderado</v>
          </cell>
        </row>
        <row r="70">
          <cell r="W70">
            <v>0.48</v>
          </cell>
          <cell r="X70" t="str">
            <v>Media - 60%</v>
          </cell>
          <cell r="Y70" t="str">
            <v>3 Moderado</v>
          </cell>
        </row>
        <row r="71">
          <cell r="W71">
            <v>0.49</v>
          </cell>
          <cell r="X71" t="str">
            <v>Media - 60%</v>
          </cell>
          <cell r="Y71" t="str">
            <v>3 Moderado</v>
          </cell>
        </row>
        <row r="72">
          <cell r="W72">
            <v>0.5</v>
          </cell>
          <cell r="X72" t="str">
            <v>Media - 60%</v>
          </cell>
          <cell r="Y72" t="str">
            <v>3 Moderado</v>
          </cell>
        </row>
        <row r="73">
          <cell r="W73">
            <v>0.51</v>
          </cell>
          <cell r="X73" t="str">
            <v>Media - 60%</v>
          </cell>
          <cell r="Y73" t="str">
            <v>3 Moderado</v>
          </cell>
        </row>
        <row r="74">
          <cell r="W74">
            <v>0.52</v>
          </cell>
          <cell r="X74" t="str">
            <v>Media - 60%</v>
          </cell>
          <cell r="Y74" t="str">
            <v>3 Moderado</v>
          </cell>
        </row>
        <row r="75">
          <cell r="W75">
            <v>0.53</v>
          </cell>
          <cell r="X75" t="str">
            <v>Media - 60%</v>
          </cell>
          <cell r="Y75" t="str">
            <v>3 Moderado</v>
          </cell>
        </row>
        <row r="76">
          <cell r="W76">
            <v>0.54</v>
          </cell>
          <cell r="X76" t="str">
            <v>Media - 60%</v>
          </cell>
          <cell r="Y76" t="str">
            <v>3 Moderado</v>
          </cell>
        </row>
        <row r="77">
          <cell r="W77">
            <v>0.55000000000000004</v>
          </cell>
          <cell r="X77" t="str">
            <v>Media - 60%</v>
          </cell>
          <cell r="Y77" t="str">
            <v>3 Moderado</v>
          </cell>
        </row>
        <row r="78">
          <cell r="W78">
            <v>0.56000000000000005</v>
          </cell>
          <cell r="X78" t="str">
            <v>Media - 60%</v>
          </cell>
          <cell r="Y78" t="str">
            <v>3 Moderado</v>
          </cell>
        </row>
        <row r="79">
          <cell r="W79">
            <v>0.56999999999999995</v>
          </cell>
          <cell r="X79" t="str">
            <v>Media - 60%</v>
          </cell>
          <cell r="Y79" t="str">
            <v>3 Moderado</v>
          </cell>
        </row>
        <row r="80">
          <cell r="W80">
            <v>0.57999999999999996</v>
          </cell>
          <cell r="X80" t="str">
            <v>Media - 60%</v>
          </cell>
          <cell r="Y80" t="str">
            <v>3 Moderado</v>
          </cell>
        </row>
        <row r="81">
          <cell r="W81">
            <v>0.59</v>
          </cell>
          <cell r="X81" t="str">
            <v>Media - 60%</v>
          </cell>
          <cell r="Y81" t="str">
            <v>3 Moderado</v>
          </cell>
        </row>
        <row r="82">
          <cell r="W82">
            <v>0.6</v>
          </cell>
          <cell r="X82" t="str">
            <v>Media - 60%</v>
          </cell>
          <cell r="Y82" t="str">
            <v>3 Moderado</v>
          </cell>
        </row>
        <row r="83">
          <cell r="W83">
            <v>0.61</v>
          </cell>
          <cell r="X83" t="str">
            <v>Alta - 80%</v>
          </cell>
          <cell r="Y83" t="str">
            <v>4 Mayor</v>
          </cell>
        </row>
        <row r="84">
          <cell r="W84">
            <v>0.62</v>
          </cell>
          <cell r="X84" t="str">
            <v>Alta - 80%</v>
          </cell>
          <cell r="Y84" t="str">
            <v>4 Mayor</v>
          </cell>
        </row>
        <row r="85">
          <cell r="W85">
            <v>0.63</v>
          </cell>
          <cell r="X85" t="str">
            <v>Alta - 80%</v>
          </cell>
          <cell r="Y85" t="str">
            <v>4 Mayor</v>
          </cell>
        </row>
        <row r="86">
          <cell r="W86">
            <v>0.64</v>
          </cell>
          <cell r="X86" t="str">
            <v>Alta - 80%</v>
          </cell>
          <cell r="Y86" t="str">
            <v>4 Mayor</v>
          </cell>
        </row>
        <row r="87">
          <cell r="W87">
            <v>0.65</v>
          </cell>
          <cell r="X87" t="str">
            <v>Alta - 80%</v>
          </cell>
          <cell r="Y87" t="str">
            <v>4 Mayor</v>
          </cell>
        </row>
        <row r="88">
          <cell r="W88">
            <v>0.66</v>
          </cell>
          <cell r="X88" t="str">
            <v>Alta - 80%</v>
          </cell>
          <cell r="Y88" t="str">
            <v>4 Mayor</v>
          </cell>
        </row>
        <row r="89">
          <cell r="W89">
            <v>0.67</v>
          </cell>
          <cell r="X89" t="str">
            <v>Alta - 80%</v>
          </cell>
          <cell r="Y89" t="str">
            <v>4 Mayor</v>
          </cell>
        </row>
        <row r="90">
          <cell r="W90">
            <v>0.68</v>
          </cell>
          <cell r="X90" t="str">
            <v>Alta - 80%</v>
          </cell>
          <cell r="Y90" t="str">
            <v>4 Mayor</v>
          </cell>
        </row>
        <row r="91">
          <cell r="W91">
            <v>0.69</v>
          </cell>
          <cell r="X91" t="str">
            <v>Alta - 80%</v>
          </cell>
          <cell r="Y91" t="str">
            <v>4 Mayor</v>
          </cell>
        </row>
        <row r="92">
          <cell r="W92">
            <v>0.7</v>
          </cell>
          <cell r="X92" t="str">
            <v>Alta - 80%</v>
          </cell>
          <cell r="Y92" t="str">
            <v>4 Mayor</v>
          </cell>
        </row>
        <row r="93">
          <cell r="W93">
            <v>0.71</v>
          </cell>
          <cell r="X93" t="str">
            <v>Alta - 80%</v>
          </cell>
          <cell r="Y93" t="str">
            <v>4 Mayor</v>
          </cell>
        </row>
        <row r="94">
          <cell r="W94">
            <v>0.72</v>
          </cell>
          <cell r="X94" t="str">
            <v>Alta - 80%</v>
          </cell>
          <cell r="Y94" t="str">
            <v>4 Mayor</v>
          </cell>
        </row>
        <row r="95">
          <cell r="W95">
            <v>0.73</v>
          </cell>
          <cell r="X95" t="str">
            <v>Alta - 80%</v>
          </cell>
          <cell r="Y95" t="str">
            <v>4 Mayor</v>
          </cell>
        </row>
        <row r="96">
          <cell r="W96">
            <v>0.74</v>
          </cell>
          <cell r="X96" t="str">
            <v>Alta - 80%</v>
          </cell>
          <cell r="Y96" t="str">
            <v>4 Mayor</v>
          </cell>
        </row>
        <row r="97">
          <cell r="W97">
            <v>0.75</v>
          </cell>
          <cell r="X97" t="str">
            <v>Alta - 80%</v>
          </cell>
          <cell r="Y97" t="str">
            <v>4 Mayor</v>
          </cell>
        </row>
        <row r="98">
          <cell r="W98">
            <v>0.76</v>
          </cell>
          <cell r="X98" t="str">
            <v>Alta - 80%</v>
          </cell>
          <cell r="Y98" t="str">
            <v>4 Mayor</v>
          </cell>
        </row>
        <row r="99">
          <cell r="W99">
            <v>0.77</v>
          </cell>
          <cell r="X99" t="str">
            <v>Alta - 80%</v>
          </cell>
          <cell r="Y99" t="str">
            <v>4 Mayor</v>
          </cell>
        </row>
        <row r="100">
          <cell r="K100" t="str">
            <v>Zona de riesgo inicial</v>
          </cell>
          <cell r="L100" t="str">
            <v xml:space="preserve">Opción de manejo ó tratamiento 
</v>
          </cell>
          <cell r="W100">
            <v>0.78</v>
          </cell>
          <cell r="X100" t="str">
            <v>Alta - 80%</v>
          </cell>
          <cell r="Y100" t="str">
            <v>4 Mayor</v>
          </cell>
        </row>
        <row r="101">
          <cell r="K101"/>
          <cell r="L101"/>
          <cell r="W101">
            <v>0.79</v>
          </cell>
          <cell r="X101" t="str">
            <v>Alta - 80%</v>
          </cell>
          <cell r="Y101" t="str">
            <v>4 Mayor</v>
          </cell>
        </row>
        <row r="102">
          <cell r="K102" t="str">
            <v>1 - Zona de riesgo Baja</v>
          </cell>
          <cell r="L102" t="str">
            <v>Aceptar el riesgo</v>
          </cell>
          <cell r="W102">
            <v>0.8</v>
          </cell>
          <cell r="X102" t="str">
            <v>Alta - 80%</v>
          </cell>
          <cell r="Y102" t="str">
            <v>4 Mayor</v>
          </cell>
        </row>
        <row r="103">
          <cell r="K103" t="str">
            <v>2 - Zona de riesgo Baja</v>
          </cell>
          <cell r="L103" t="str">
            <v>Aceptar el riesgo</v>
          </cell>
          <cell r="W103">
            <v>0.81</v>
          </cell>
          <cell r="X103" t="str">
            <v>Muy Alta - 100%</v>
          </cell>
          <cell r="Y103" t="str">
            <v xml:space="preserve">5 Catastrófico </v>
          </cell>
        </row>
        <row r="104">
          <cell r="K104" t="str">
            <v>3 - Zona de riesgo Moderada</v>
          </cell>
          <cell r="L104" t="str">
            <v>Reducir el riesgo</v>
          </cell>
          <cell r="W104">
            <v>0.82</v>
          </cell>
          <cell r="X104" t="str">
            <v>Muy Alta - 100%</v>
          </cell>
          <cell r="Y104" t="str">
            <v xml:space="preserve">5 Catastrófico </v>
          </cell>
        </row>
        <row r="105">
          <cell r="K105" t="str">
            <v>4 - Zona de riesgo Alta</v>
          </cell>
          <cell r="L105" t="str">
            <v>Reducir el riesgo</v>
          </cell>
          <cell r="W105">
            <v>0.83</v>
          </cell>
          <cell r="X105" t="str">
            <v>Muy Alta - 100%</v>
          </cell>
          <cell r="Y105" t="str">
            <v xml:space="preserve">5 Catastrófico </v>
          </cell>
        </row>
        <row r="106">
          <cell r="K106" t="str">
            <v>5 - Zona de riesgo Extremo</v>
          </cell>
          <cell r="L106" t="str">
            <v>Evitar o compartir el riesgo</v>
          </cell>
          <cell r="W106">
            <v>0.84</v>
          </cell>
          <cell r="X106" t="str">
            <v>Muy Alta - 100%</v>
          </cell>
          <cell r="Y106" t="str">
            <v xml:space="preserve">5 Catastrófico </v>
          </cell>
        </row>
        <row r="107">
          <cell r="W107">
            <v>0.85</v>
          </cell>
          <cell r="X107" t="str">
            <v>Muy Alta - 100%</v>
          </cell>
          <cell r="Y107" t="str">
            <v xml:space="preserve">5 Catastrófico </v>
          </cell>
        </row>
        <row r="108">
          <cell r="W108">
            <v>0.86</v>
          </cell>
          <cell r="X108" t="str">
            <v>Muy Alta - 100%</v>
          </cell>
          <cell r="Y108" t="str">
            <v xml:space="preserve">5 Catastrófico </v>
          </cell>
        </row>
        <row r="109">
          <cell r="W109">
            <v>0.87</v>
          </cell>
          <cell r="X109" t="str">
            <v>Muy Alta - 100%</v>
          </cell>
          <cell r="Y109" t="str">
            <v xml:space="preserve">5 Catastrófico </v>
          </cell>
        </row>
        <row r="110">
          <cell r="W110">
            <v>0.88</v>
          </cell>
          <cell r="X110" t="str">
            <v>Muy Alta - 100%</v>
          </cell>
          <cell r="Y110" t="str">
            <v xml:space="preserve">5 Catastrófico </v>
          </cell>
        </row>
        <row r="111">
          <cell r="W111">
            <v>0.89</v>
          </cell>
          <cell r="X111" t="str">
            <v>Muy Alta - 100%</v>
          </cell>
          <cell r="Y111" t="str">
            <v xml:space="preserve">5 Catastrófico </v>
          </cell>
        </row>
        <row r="112">
          <cell r="L112">
            <v>0.8</v>
          </cell>
          <cell r="W112">
            <v>0.9</v>
          </cell>
          <cell r="X112" t="str">
            <v>Muy Alta - 100%</v>
          </cell>
          <cell r="Y112" t="str">
            <v xml:space="preserve">5 Catastrófico </v>
          </cell>
        </row>
        <row r="113">
          <cell r="L113">
            <v>0.8</v>
          </cell>
          <cell r="W113">
            <v>0.91</v>
          </cell>
          <cell r="X113" t="str">
            <v>Muy Alta - 100%</v>
          </cell>
          <cell r="Y113" t="str">
            <v xml:space="preserve">5 Catastrófico </v>
          </cell>
        </row>
        <row r="114">
          <cell r="L114">
            <v>0.8</v>
          </cell>
          <cell r="W114">
            <v>0.92</v>
          </cell>
          <cell r="X114" t="str">
            <v>Muy Alta - 100%</v>
          </cell>
          <cell r="Y114" t="str">
            <v xml:space="preserve">5 Catastrófico </v>
          </cell>
        </row>
        <row r="115">
          <cell r="W115">
            <v>0.93</v>
          </cell>
          <cell r="X115" t="str">
            <v>Muy Alta - 100%</v>
          </cell>
          <cell r="Y115" t="str">
            <v xml:space="preserve">5 Catastrófico </v>
          </cell>
        </row>
        <row r="116">
          <cell r="W116">
            <v>0.94</v>
          </cell>
          <cell r="X116" t="str">
            <v>Muy Alta - 100%</v>
          </cell>
          <cell r="Y116" t="str">
            <v xml:space="preserve">5 Catastrófico </v>
          </cell>
        </row>
        <row r="117">
          <cell r="L117">
            <v>0.6</v>
          </cell>
          <cell r="W117">
            <v>0.95</v>
          </cell>
          <cell r="X117" t="str">
            <v>Muy Alta - 100%</v>
          </cell>
          <cell r="Y117" t="str">
            <v xml:space="preserve">5 Catastrófico </v>
          </cell>
        </row>
        <row r="118">
          <cell r="W118">
            <v>0.96</v>
          </cell>
          <cell r="X118" t="str">
            <v>Muy Alta - 100%</v>
          </cell>
          <cell r="Y118" t="str">
            <v xml:space="preserve">5 Catastrófico </v>
          </cell>
        </row>
        <row r="119">
          <cell r="L119">
            <v>0.6</v>
          </cell>
          <cell r="W119">
            <v>0.97</v>
          </cell>
          <cell r="X119" t="str">
            <v>Muy Alta - 100%</v>
          </cell>
          <cell r="Y119" t="str">
            <v xml:space="preserve">5 Catastrófico </v>
          </cell>
        </row>
        <row r="120">
          <cell r="L120">
            <v>0.6</v>
          </cell>
          <cell r="W120">
            <v>0.98</v>
          </cell>
          <cell r="X120" t="str">
            <v>Muy Alta - 100%</v>
          </cell>
          <cell r="Y120" t="str">
            <v xml:space="preserve">5 Catastrófico </v>
          </cell>
        </row>
        <row r="121">
          <cell r="W121">
            <v>0.99</v>
          </cell>
          <cell r="X121" t="str">
            <v>Muy Alta - 100%</v>
          </cell>
          <cell r="Y121" t="str">
            <v xml:space="preserve">5 Catastrófico </v>
          </cell>
        </row>
        <row r="122">
          <cell r="L122">
            <v>0.6</v>
          </cell>
          <cell r="W122">
            <v>1</v>
          </cell>
          <cell r="X122" t="str">
            <v>Muy Alta - 100%</v>
          </cell>
          <cell r="Y122" t="str">
            <v xml:space="preserve">5 Catastrófico </v>
          </cell>
        </row>
        <row r="123">
          <cell r="L123">
            <v>0.8</v>
          </cell>
        </row>
        <row r="124">
          <cell r="L124">
            <v>0.6</v>
          </cell>
        </row>
        <row r="126">
          <cell r="L126">
            <v>0.6</v>
          </cell>
        </row>
        <row r="127">
          <cell r="L127">
            <v>0.6</v>
          </cell>
        </row>
        <row r="128">
          <cell r="L128">
            <v>0.8</v>
          </cell>
        </row>
        <row r="129">
          <cell r="L129">
            <v>0.6</v>
          </cell>
        </row>
        <row r="130">
          <cell r="L130">
            <v>0.6</v>
          </cell>
        </row>
        <row r="133">
          <cell r="L133">
            <v>0.8</v>
          </cell>
        </row>
        <row r="134">
          <cell r="L134">
            <v>0.6</v>
          </cell>
        </row>
        <row r="135">
          <cell r="L135">
            <v>0.8</v>
          </cell>
        </row>
        <row r="136">
          <cell r="L136">
            <v>0.6</v>
          </cell>
        </row>
        <row r="137">
          <cell r="L137">
            <v>0.8</v>
          </cell>
        </row>
        <row r="138">
          <cell r="L138">
            <v>0.8</v>
          </cell>
        </row>
        <row r="139">
          <cell r="L139">
            <v>0.8</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pos"/>
    </sheetNames>
    <sheetDataSet>
      <sheetData sheetId="0">
        <row r="11">
          <cell r="H11" t="str">
            <v>Probabilidad</v>
          </cell>
          <cell r="I11"/>
          <cell r="J11" t="str">
            <v>Números aleatorios</v>
          </cell>
          <cell r="K11" t="str">
            <v>Valoración Impacto</v>
          </cell>
          <cell r="L11"/>
          <cell r="M11" t="str">
            <v>Código por combinación</v>
          </cell>
          <cell r="N11" t="str">
            <v>Zona de riesgo inicial</v>
          </cell>
          <cell r="O11"/>
          <cell r="P11"/>
          <cell r="Q11" t="str">
            <v xml:space="preserve">Opción de manejo ó tratamiento 
</v>
          </cell>
        </row>
        <row r="12">
          <cell r="H12"/>
          <cell r="I12"/>
          <cell r="J12"/>
          <cell r="K12"/>
          <cell r="L12"/>
          <cell r="M12"/>
          <cell r="N12"/>
          <cell r="O12"/>
          <cell r="P12"/>
          <cell r="Q12"/>
        </row>
        <row r="13">
          <cell r="H13" t="str">
            <v>1-Muy baja</v>
          </cell>
          <cell r="I13">
            <v>1</v>
          </cell>
          <cell r="J13">
            <v>30</v>
          </cell>
          <cell r="K13" t="str">
            <v>1 Leve</v>
          </cell>
          <cell r="L13">
            <v>1</v>
          </cell>
          <cell r="M13">
            <v>31</v>
          </cell>
          <cell r="N13" t="str">
            <v>1 - Zona de riesgo Baja</v>
          </cell>
          <cell r="O13"/>
          <cell r="P13"/>
          <cell r="Q13" t="str">
            <v>Aceptar el riesgo</v>
          </cell>
        </row>
        <row r="14">
          <cell r="H14" t="str">
            <v>1-Muy baja</v>
          </cell>
          <cell r="I14">
            <v>1</v>
          </cell>
          <cell r="J14">
            <v>30</v>
          </cell>
          <cell r="K14" t="str">
            <v>2 Menor</v>
          </cell>
          <cell r="L14">
            <v>2</v>
          </cell>
          <cell r="M14">
            <v>32</v>
          </cell>
          <cell r="N14" t="str">
            <v>2 - Zona de riesgo Baja</v>
          </cell>
          <cell r="O14"/>
          <cell r="P14"/>
          <cell r="Q14" t="str">
            <v>Aceptar el riesgo</v>
          </cell>
        </row>
        <row r="15">
          <cell r="H15" t="str">
            <v>1-Muy baja</v>
          </cell>
          <cell r="I15">
            <v>1</v>
          </cell>
          <cell r="J15">
            <v>30</v>
          </cell>
          <cell r="K15" t="str">
            <v>3 Moderado</v>
          </cell>
          <cell r="L15">
            <v>3</v>
          </cell>
          <cell r="M15">
            <v>33</v>
          </cell>
          <cell r="N15" t="str">
            <v>3 - Zona de riesgo Moderada</v>
          </cell>
          <cell r="O15"/>
          <cell r="P15"/>
          <cell r="Q15" t="str">
            <v>Reducir el riesgo</v>
          </cell>
        </row>
        <row r="16">
          <cell r="H16" t="str">
            <v>1-Muy baja</v>
          </cell>
          <cell r="I16">
            <v>1</v>
          </cell>
          <cell r="J16">
            <v>30</v>
          </cell>
          <cell r="K16" t="str">
            <v>4 Mayor</v>
          </cell>
          <cell r="L16">
            <v>4</v>
          </cell>
          <cell r="M16">
            <v>34</v>
          </cell>
          <cell r="N16" t="str">
            <v>4 - Zona de riesgo Alta</v>
          </cell>
          <cell r="O16"/>
          <cell r="P16"/>
          <cell r="Q16" t="str">
            <v>Reducir el riesgo</v>
          </cell>
        </row>
        <row r="17">
          <cell r="H17" t="str">
            <v>1-Muy baja</v>
          </cell>
          <cell r="I17">
            <v>1</v>
          </cell>
          <cell r="J17">
            <v>30</v>
          </cell>
          <cell r="K17" t="str">
            <v xml:space="preserve">5 Catastrófico </v>
          </cell>
          <cell r="L17">
            <v>5</v>
          </cell>
          <cell r="M17">
            <v>35</v>
          </cell>
          <cell r="N17" t="str">
            <v>5 - Zona de riesgo Extremo</v>
          </cell>
          <cell r="O17"/>
          <cell r="P17"/>
          <cell r="Q17" t="str">
            <v>Evitar o compartir el riesgo</v>
          </cell>
        </row>
        <row r="18">
          <cell r="H18" t="str">
            <v>2- Baja</v>
          </cell>
          <cell r="I18">
            <v>2</v>
          </cell>
          <cell r="J18">
            <v>42</v>
          </cell>
          <cell r="K18" t="str">
            <v>1 Insignificante</v>
          </cell>
          <cell r="L18">
            <v>1</v>
          </cell>
          <cell r="M18">
            <v>43</v>
          </cell>
          <cell r="N18" t="str">
            <v>1 - Zona de riesgo Baja</v>
          </cell>
          <cell r="O18"/>
          <cell r="P18"/>
          <cell r="Q18" t="str">
            <v>Aceptar el riesgo</v>
          </cell>
        </row>
        <row r="19">
          <cell r="H19" t="str">
            <v>2- Baja</v>
          </cell>
          <cell r="I19">
            <v>2</v>
          </cell>
          <cell r="J19">
            <v>42</v>
          </cell>
          <cell r="K19" t="str">
            <v>2 Menor</v>
          </cell>
          <cell r="L19">
            <v>2</v>
          </cell>
          <cell r="M19">
            <v>44</v>
          </cell>
          <cell r="N19" t="str">
            <v>2 - Zona de riesgo Moderada</v>
          </cell>
          <cell r="O19"/>
          <cell r="P19"/>
          <cell r="Q19" t="str">
            <v>Reducir el riesgo</v>
          </cell>
        </row>
        <row r="20">
          <cell r="H20" t="str">
            <v>2- Baja</v>
          </cell>
          <cell r="I20">
            <v>2</v>
          </cell>
          <cell r="J20">
            <v>42</v>
          </cell>
          <cell r="K20" t="str">
            <v>3 Moderado</v>
          </cell>
          <cell r="L20">
            <v>3</v>
          </cell>
          <cell r="M20">
            <v>45</v>
          </cell>
          <cell r="N20" t="str">
            <v>3 - Zona de riesgo Moderada</v>
          </cell>
          <cell r="O20"/>
          <cell r="P20"/>
          <cell r="Q20" t="str">
            <v>Reducir el riesgo</v>
          </cell>
        </row>
        <row r="21">
          <cell r="H21" t="str">
            <v>2- Baja</v>
          </cell>
          <cell r="I21">
            <v>2</v>
          </cell>
          <cell r="J21">
            <v>42</v>
          </cell>
          <cell r="K21" t="str">
            <v>4 Mayor</v>
          </cell>
          <cell r="L21">
            <v>4</v>
          </cell>
          <cell r="M21">
            <v>46</v>
          </cell>
          <cell r="N21" t="str">
            <v>4 - Zona de riesgo Alta</v>
          </cell>
          <cell r="O21"/>
          <cell r="P21"/>
          <cell r="Q21" t="str">
            <v>Reducir el riesgo</v>
          </cell>
        </row>
        <row r="22">
          <cell r="H22" t="str">
            <v>2- Baja</v>
          </cell>
          <cell r="I22">
            <v>2</v>
          </cell>
          <cell r="J22">
            <v>42</v>
          </cell>
          <cell r="K22" t="str">
            <v xml:space="preserve">5 Catastrófico </v>
          </cell>
          <cell r="L22">
            <v>5</v>
          </cell>
          <cell r="M22">
            <v>47</v>
          </cell>
          <cell r="N22" t="str">
            <v>5 - Zona de riesgo Extremo</v>
          </cell>
          <cell r="O22"/>
          <cell r="P22"/>
          <cell r="Q22" t="str">
            <v>Evitar o compartir el riesgo</v>
          </cell>
          <cell r="X22" t="str">
            <v>Probabilidad</v>
          </cell>
        </row>
        <row r="23">
          <cell r="H23" t="str">
            <v>3- Media</v>
          </cell>
          <cell r="I23">
            <v>3</v>
          </cell>
          <cell r="J23">
            <v>52</v>
          </cell>
          <cell r="K23" t="str">
            <v>1 Leve</v>
          </cell>
          <cell r="L23">
            <v>1</v>
          </cell>
          <cell r="M23">
            <v>53</v>
          </cell>
          <cell r="N23" t="str">
            <v>1 - Zona de riesgo Moderada</v>
          </cell>
          <cell r="O23"/>
          <cell r="P23"/>
          <cell r="Q23" t="str">
            <v>Reducir el riesgo</v>
          </cell>
          <cell r="W23">
            <v>0.01</v>
          </cell>
          <cell r="X23"/>
        </row>
        <row r="24">
          <cell r="H24" t="str">
            <v>3- Media</v>
          </cell>
          <cell r="I24">
            <v>3</v>
          </cell>
          <cell r="J24">
            <v>52</v>
          </cell>
          <cell r="K24" t="str">
            <v>2 Menor</v>
          </cell>
          <cell r="L24">
            <v>2</v>
          </cell>
          <cell r="M24">
            <v>54</v>
          </cell>
          <cell r="N24" t="str">
            <v>2 - Zona de riesgo Moderada</v>
          </cell>
          <cell r="O24"/>
          <cell r="P24"/>
          <cell r="Q24" t="str">
            <v>Reducir el riesgo</v>
          </cell>
          <cell r="W24">
            <v>0.02</v>
          </cell>
          <cell r="X24" t="str">
            <v>Muy Baja - 20%</v>
          </cell>
          <cell r="Y24" t="str">
            <v>1 Leve</v>
          </cell>
        </row>
        <row r="25">
          <cell r="H25" t="str">
            <v>3- Media</v>
          </cell>
          <cell r="I25">
            <v>3</v>
          </cell>
          <cell r="J25">
            <v>52</v>
          </cell>
          <cell r="K25" t="str">
            <v>3 Moderado</v>
          </cell>
          <cell r="L25">
            <v>3</v>
          </cell>
          <cell r="M25">
            <v>55</v>
          </cell>
          <cell r="N25" t="str">
            <v>3 - Zona de riesgo Moderada</v>
          </cell>
          <cell r="O25"/>
          <cell r="P25"/>
          <cell r="Q25" t="str">
            <v>Reducir el riesgo</v>
          </cell>
          <cell r="W25">
            <v>0.03</v>
          </cell>
          <cell r="X25" t="str">
            <v>Muy Baja - 20%</v>
          </cell>
          <cell r="Y25" t="str">
            <v>1 Leve</v>
          </cell>
        </row>
        <row r="26">
          <cell r="H26" t="str">
            <v>3- Media</v>
          </cell>
          <cell r="I26">
            <v>3</v>
          </cell>
          <cell r="J26">
            <v>52</v>
          </cell>
          <cell r="K26" t="str">
            <v>4 Mayor</v>
          </cell>
          <cell r="L26">
            <v>4</v>
          </cell>
          <cell r="M26">
            <v>56</v>
          </cell>
          <cell r="N26" t="str">
            <v>4 - Zona de riesgo Alta</v>
          </cell>
          <cell r="O26"/>
          <cell r="P26"/>
          <cell r="Q26" t="str">
            <v>Reducir el riesgo</v>
          </cell>
          <cell r="W26">
            <v>0.04</v>
          </cell>
          <cell r="X26" t="str">
            <v>Muy Baja - 20%</v>
          </cell>
          <cell r="Y26" t="str">
            <v>1 Leve</v>
          </cell>
        </row>
        <row r="27">
          <cell r="H27" t="str">
            <v>3- Media</v>
          </cell>
          <cell r="I27">
            <v>3</v>
          </cell>
          <cell r="J27">
            <v>52</v>
          </cell>
          <cell r="K27" t="str">
            <v xml:space="preserve">5 Catastrófico </v>
          </cell>
          <cell r="L27">
            <v>5</v>
          </cell>
          <cell r="M27">
            <v>57</v>
          </cell>
          <cell r="N27" t="str">
            <v>5 - Zona de riesgo Extremo</v>
          </cell>
          <cell r="O27"/>
          <cell r="P27"/>
          <cell r="Q27" t="str">
            <v>Evitar o compartir el riesgo</v>
          </cell>
          <cell r="W27">
            <v>0.05</v>
          </cell>
          <cell r="X27" t="str">
            <v>Muy Baja - 20%</v>
          </cell>
          <cell r="Y27" t="str">
            <v>1 Leve</v>
          </cell>
        </row>
        <row r="28">
          <cell r="H28" t="str">
            <v>4- Alta</v>
          </cell>
          <cell r="I28">
            <v>4</v>
          </cell>
          <cell r="J28">
            <v>63</v>
          </cell>
          <cell r="K28" t="str">
            <v>1 Leve</v>
          </cell>
          <cell r="L28">
            <v>1</v>
          </cell>
          <cell r="M28">
            <v>64</v>
          </cell>
          <cell r="N28" t="str">
            <v>1 - Zona de riesgo Moderada</v>
          </cell>
          <cell r="O28"/>
          <cell r="P28"/>
          <cell r="Q28" t="str">
            <v>Reducir el riesgo</v>
          </cell>
          <cell r="W28">
            <v>0.06</v>
          </cell>
          <cell r="X28" t="str">
            <v>Muy Baja - 20%</v>
          </cell>
          <cell r="Y28" t="str">
            <v>1 Leve</v>
          </cell>
        </row>
        <row r="29">
          <cell r="H29" t="str">
            <v>4- Alta</v>
          </cell>
          <cell r="I29">
            <v>4</v>
          </cell>
          <cell r="J29">
            <v>63</v>
          </cell>
          <cell r="K29" t="str">
            <v>2 Menor</v>
          </cell>
          <cell r="L29">
            <v>2</v>
          </cell>
          <cell r="M29">
            <v>65</v>
          </cell>
          <cell r="N29" t="str">
            <v>2 - Zona de riesgo Moderada</v>
          </cell>
          <cell r="O29"/>
          <cell r="P29"/>
          <cell r="Q29" t="str">
            <v>Reducir el riesgo</v>
          </cell>
          <cell r="W29">
            <v>7.0000000000000007E-2</v>
          </cell>
          <cell r="X29" t="str">
            <v>Muy Baja - 20%</v>
          </cell>
          <cell r="Y29" t="str">
            <v>1 Leve</v>
          </cell>
        </row>
        <row r="30">
          <cell r="H30" t="str">
            <v>4- Alta</v>
          </cell>
          <cell r="I30">
            <v>4</v>
          </cell>
          <cell r="J30">
            <v>63</v>
          </cell>
          <cell r="K30" t="str">
            <v>3 Moderado</v>
          </cell>
          <cell r="L30">
            <v>3</v>
          </cell>
          <cell r="M30">
            <v>66</v>
          </cell>
          <cell r="N30" t="str">
            <v>3 - Zona de riesgo Alta</v>
          </cell>
          <cell r="O30"/>
          <cell r="P30"/>
          <cell r="Q30" t="str">
            <v>Reducir el riesgo</v>
          </cell>
          <cell r="W30">
            <v>0.08</v>
          </cell>
          <cell r="X30" t="str">
            <v>Muy Baja - 20%</v>
          </cell>
          <cell r="Y30" t="str">
            <v>1 Leve</v>
          </cell>
        </row>
        <row r="31">
          <cell r="H31" t="str">
            <v>4- Alta</v>
          </cell>
          <cell r="I31">
            <v>4</v>
          </cell>
          <cell r="J31">
            <v>63</v>
          </cell>
          <cell r="K31" t="str">
            <v>4 Mayor</v>
          </cell>
          <cell r="L31">
            <v>4</v>
          </cell>
          <cell r="M31">
            <v>67</v>
          </cell>
          <cell r="N31" t="str">
            <v>4 - Zona de riesgo Alta</v>
          </cell>
          <cell r="O31"/>
          <cell r="P31"/>
          <cell r="Q31" t="str">
            <v>Reducir el riesgo</v>
          </cell>
          <cell r="W31">
            <v>0.09</v>
          </cell>
          <cell r="X31" t="str">
            <v>Muy Baja - 20%</v>
          </cell>
          <cell r="Y31" t="str">
            <v>1 Leve</v>
          </cell>
        </row>
        <row r="32">
          <cell r="H32" t="str">
            <v>4- Alta</v>
          </cell>
          <cell r="I32">
            <v>4</v>
          </cell>
          <cell r="J32">
            <v>63</v>
          </cell>
          <cell r="K32" t="str">
            <v xml:space="preserve">5 Catastrófico </v>
          </cell>
          <cell r="L32">
            <v>5</v>
          </cell>
          <cell r="M32">
            <v>68</v>
          </cell>
          <cell r="N32" t="str">
            <v>5 - Zona de riesgo Extremo</v>
          </cell>
          <cell r="O32"/>
          <cell r="P32"/>
          <cell r="Q32" t="str">
            <v>Evitar o compartir el riesgo</v>
          </cell>
          <cell r="S32" t="str">
            <v>Valoración Impacto</v>
          </cell>
          <cell r="T32" t="str">
            <v>%</v>
          </cell>
          <cell r="W32">
            <v>0.1</v>
          </cell>
          <cell r="X32" t="str">
            <v>Muy Baja - 20%</v>
          </cell>
          <cell r="Y32" t="str">
            <v>1 Leve</v>
          </cell>
        </row>
        <row r="33">
          <cell r="H33" t="str">
            <v>5 - Muy Alta</v>
          </cell>
          <cell r="I33">
            <v>5</v>
          </cell>
          <cell r="J33">
            <v>74</v>
          </cell>
          <cell r="K33" t="str">
            <v>1 Leve</v>
          </cell>
          <cell r="L33">
            <v>1</v>
          </cell>
          <cell r="M33">
            <v>75</v>
          </cell>
          <cell r="N33" t="str">
            <v>1 - Zona de riesgo Alta</v>
          </cell>
          <cell r="O33"/>
          <cell r="P33"/>
          <cell r="Q33" t="str">
            <v>Reducir el riesgo</v>
          </cell>
          <cell r="S33"/>
          <cell r="T33"/>
          <cell r="W33">
            <v>0.11</v>
          </cell>
          <cell r="X33" t="str">
            <v>Muy Baja - 20%</v>
          </cell>
          <cell r="Y33" t="str">
            <v>1 Leve</v>
          </cell>
        </row>
        <row r="34">
          <cell r="H34" t="str">
            <v>6 - Muy Alta</v>
          </cell>
          <cell r="I34">
            <v>5</v>
          </cell>
          <cell r="J34">
            <v>74</v>
          </cell>
          <cell r="K34" t="str">
            <v>2 Menor</v>
          </cell>
          <cell r="L34">
            <v>2</v>
          </cell>
          <cell r="M34">
            <v>76</v>
          </cell>
          <cell r="N34" t="str">
            <v>2 - Zona de riesgo Alta</v>
          </cell>
          <cell r="O34"/>
          <cell r="P34"/>
          <cell r="Q34" t="str">
            <v>Reducir el riesgo</v>
          </cell>
          <cell r="S34" t="str">
            <v>1 Leve</v>
          </cell>
          <cell r="T34">
            <v>0.2</v>
          </cell>
          <cell r="W34">
            <v>0.12</v>
          </cell>
          <cell r="X34" t="str">
            <v>Muy Baja - 20%</v>
          </cell>
          <cell r="Y34" t="str">
            <v>1 Leve</v>
          </cell>
        </row>
        <row r="35">
          <cell r="H35" t="str">
            <v>7 - Muy Alta</v>
          </cell>
          <cell r="I35">
            <v>5</v>
          </cell>
          <cell r="J35">
            <v>74</v>
          </cell>
          <cell r="K35" t="str">
            <v>3 Moderado</v>
          </cell>
          <cell r="L35">
            <v>3</v>
          </cell>
          <cell r="M35">
            <v>77</v>
          </cell>
          <cell r="N35" t="str">
            <v>3 - Zona de riesgo Alta</v>
          </cell>
          <cell r="O35"/>
          <cell r="P35"/>
          <cell r="Q35" t="str">
            <v>Reducir el riesgo</v>
          </cell>
          <cell r="S35" t="str">
            <v>2 Menor</v>
          </cell>
          <cell r="T35">
            <v>0.4</v>
          </cell>
          <cell r="W35">
            <v>0.13</v>
          </cell>
          <cell r="X35" t="str">
            <v>Muy Baja - 20%</v>
          </cell>
          <cell r="Y35" t="str">
            <v>1 Leve</v>
          </cell>
        </row>
        <row r="36">
          <cell r="H36" t="str">
            <v>8 - Muy Alta</v>
          </cell>
          <cell r="I36">
            <v>5</v>
          </cell>
          <cell r="J36">
            <v>74</v>
          </cell>
          <cell r="K36" t="str">
            <v>4 Mayor</v>
          </cell>
          <cell r="L36">
            <v>4</v>
          </cell>
          <cell r="M36">
            <v>78</v>
          </cell>
          <cell r="N36" t="str">
            <v>4 - Zona de riesgo Alta</v>
          </cell>
          <cell r="O36"/>
          <cell r="P36"/>
          <cell r="Q36" t="str">
            <v>Reducir el riesgo</v>
          </cell>
          <cell r="S36" t="str">
            <v>3 Moderado</v>
          </cell>
          <cell r="T36">
            <v>0.6</v>
          </cell>
          <cell r="W36">
            <v>0.14000000000000001</v>
          </cell>
          <cell r="X36" t="str">
            <v>Muy Baja - 20%</v>
          </cell>
          <cell r="Y36" t="str">
            <v>1 Leve</v>
          </cell>
        </row>
        <row r="37">
          <cell r="H37" t="str">
            <v>9 - Muy Alta</v>
          </cell>
          <cell r="I37">
            <v>5</v>
          </cell>
          <cell r="J37">
            <v>74</v>
          </cell>
          <cell r="K37" t="str">
            <v xml:space="preserve">5 Catastrófico </v>
          </cell>
          <cell r="L37">
            <v>5</v>
          </cell>
          <cell r="M37">
            <v>79</v>
          </cell>
          <cell r="N37" t="str">
            <v>5 - Zona de riesgo Extremo</v>
          </cell>
          <cell r="O37"/>
          <cell r="P37"/>
          <cell r="Q37" t="str">
            <v>Evitar o compartir el riesgo</v>
          </cell>
          <cell r="S37" t="str">
            <v>4 Mayor</v>
          </cell>
          <cell r="T37">
            <v>0.8</v>
          </cell>
          <cell r="W37">
            <v>0.15</v>
          </cell>
          <cell r="X37" t="str">
            <v>Muy Baja - 20%</v>
          </cell>
          <cell r="Y37" t="str">
            <v>1 Leve</v>
          </cell>
        </row>
        <row r="38">
          <cell r="S38" t="str">
            <v xml:space="preserve">5 Catastrófico </v>
          </cell>
          <cell r="T38">
            <v>1</v>
          </cell>
          <cell r="W38">
            <v>0.16</v>
          </cell>
          <cell r="X38" t="str">
            <v>Muy Baja - 20%</v>
          </cell>
          <cell r="Y38" t="str">
            <v>1 Leve</v>
          </cell>
        </row>
        <row r="39">
          <cell r="W39">
            <v>0.17</v>
          </cell>
          <cell r="X39" t="str">
            <v>Muy Baja - 20%</v>
          </cell>
          <cell r="Y39" t="str">
            <v>1 Leve</v>
          </cell>
        </row>
        <row r="40">
          <cell r="W40">
            <v>0.18</v>
          </cell>
          <cell r="X40" t="str">
            <v>Muy Baja - 20%</v>
          </cell>
          <cell r="Y40" t="str">
            <v>1 Leve</v>
          </cell>
        </row>
        <row r="41">
          <cell r="W41">
            <v>0.19</v>
          </cell>
          <cell r="X41" t="str">
            <v>Muy Baja - 20%</v>
          </cell>
          <cell r="Y41" t="str">
            <v>1 Leve</v>
          </cell>
        </row>
        <row r="42">
          <cell r="W42">
            <v>0.2</v>
          </cell>
          <cell r="X42" t="str">
            <v>Muy Baja - 20%</v>
          </cell>
          <cell r="Y42" t="str">
            <v>1 Leve</v>
          </cell>
        </row>
        <row r="43">
          <cell r="W43">
            <v>0.21</v>
          </cell>
          <cell r="X43" t="str">
            <v>Baja - 40%</v>
          </cell>
          <cell r="Y43" t="str">
            <v>2 Menor</v>
          </cell>
        </row>
        <row r="44">
          <cell r="W44">
            <v>0.22</v>
          </cell>
          <cell r="X44" t="str">
            <v>Baja - 40%</v>
          </cell>
          <cell r="Y44" t="str">
            <v>2 Menor</v>
          </cell>
        </row>
        <row r="45">
          <cell r="W45">
            <v>0.23</v>
          </cell>
          <cell r="X45" t="str">
            <v>Baja - 40%</v>
          </cell>
          <cell r="Y45" t="str">
            <v>2 Menor</v>
          </cell>
        </row>
        <row r="46">
          <cell r="W46">
            <v>0.24</v>
          </cell>
          <cell r="X46" t="str">
            <v>Baja - 40%</v>
          </cell>
          <cell r="Y46" t="str">
            <v>2 Menor</v>
          </cell>
        </row>
        <row r="47">
          <cell r="W47">
            <v>0.25</v>
          </cell>
          <cell r="X47" t="str">
            <v>Baja - 40%</v>
          </cell>
          <cell r="Y47" t="str">
            <v>2 Menor</v>
          </cell>
        </row>
        <row r="48">
          <cell r="W48">
            <v>0.26</v>
          </cell>
          <cell r="X48" t="str">
            <v>Baja - 40%</v>
          </cell>
          <cell r="Y48" t="str">
            <v>2 Menor</v>
          </cell>
        </row>
        <row r="49">
          <cell r="W49">
            <v>0.27</v>
          </cell>
          <cell r="X49" t="str">
            <v>Baja - 40%</v>
          </cell>
          <cell r="Y49" t="str">
            <v>2 Menor</v>
          </cell>
        </row>
        <row r="50">
          <cell r="W50">
            <v>0.28000000000000003</v>
          </cell>
          <cell r="X50" t="str">
            <v>Baja - 40%</v>
          </cell>
          <cell r="Y50" t="str">
            <v>2 Menor</v>
          </cell>
        </row>
        <row r="51">
          <cell r="W51">
            <v>0.28999999999999998</v>
          </cell>
          <cell r="X51" t="str">
            <v>Baja - 40%</v>
          </cell>
          <cell r="Y51" t="str">
            <v>2 Menor</v>
          </cell>
        </row>
        <row r="52">
          <cell r="W52">
            <v>0.3</v>
          </cell>
          <cell r="X52" t="str">
            <v>Baja - 40%</v>
          </cell>
          <cell r="Y52" t="str">
            <v>2 Menor</v>
          </cell>
        </row>
        <row r="53">
          <cell r="W53">
            <v>0.31</v>
          </cell>
          <cell r="X53" t="str">
            <v>Baja - 40%</v>
          </cell>
          <cell r="Y53" t="str">
            <v>2 Menor</v>
          </cell>
        </row>
        <row r="54">
          <cell r="W54">
            <v>0.32</v>
          </cell>
          <cell r="X54" t="str">
            <v>Baja - 40%</v>
          </cell>
          <cell r="Y54" t="str">
            <v>2 Menor</v>
          </cell>
        </row>
        <row r="55">
          <cell r="W55">
            <v>0.33</v>
          </cell>
          <cell r="X55" t="str">
            <v>Baja - 40%</v>
          </cell>
          <cell r="Y55" t="str">
            <v>2 Menor</v>
          </cell>
        </row>
        <row r="56">
          <cell r="W56">
            <v>0.34</v>
          </cell>
          <cell r="X56" t="str">
            <v>Baja - 40%</v>
          </cell>
          <cell r="Y56" t="str">
            <v>2 Menor</v>
          </cell>
        </row>
        <row r="57">
          <cell r="W57">
            <v>0.35</v>
          </cell>
          <cell r="X57" t="str">
            <v>Baja - 40%</v>
          </cell>
          <cell r="Y57" t="str">
            <v>2 Menor</v>
          </cell>
        </row>
        <row r="58">
          <cell r="W58">
            <v>0.36</v>
          </cell>
          <cell r="X58" t="str">
            <v>Baja - 40%</v>
          </cell>
          <cell r="Y58" t="str">
            <v>2 Menor</v>
          </cell>
        </row>
        <row r="59">
          <cell r="W59">
            <v>0.37</v>
          </cell>
          <cell r="X59" t="str">
            <v>Baja - 40%</v>
          </cell>
          <cell r="Y59" t="str">
            <v>2 Menor</v>
          </cell>
        </row>
        <row r="60">
          <cell r="W60">
            <v>0.38</v>
          </cell>
          <cell r="X60" t="str">
            <v>Baja - 40%</v>
          </cell>
          <cell r="Y60" t="str">
            <v>2 Menor</v>
          </cell>
        </row>
        <row r="61">
          <cell r="W61">
            <v>0.39</v>
          </cell>
          <cell r="X61" t="str">
            <v>Baja - 40%</v>
          </cell>
          <cell r="Y61" t="str">
            <v>2 Menor</v>
          </cell>
        </row>
        <row r="62">
          <cell r="W62">
            <v>0.4</v>
          </cell>
          <cell r="X62" t="str">
            <v>Baja - 40%</v>
          </cell>
          <cell r="Y62" t="str">
            <v>2 Menor</v>
          </cell>
        </row>
        <row r="63">
          <cell r="W63">
            <v>0.41</v>
          </cell>
          <cell r="X63" t="str">
            <v>Media - 60%</v>
          </cell>
          <cell r="Y63" t="str">
            <v>3 Moderado</v>
          </cell>
        </row>
        <row r="64">
          <cell r="W64">
            <v>0.42</v>
          </cell>
          <cell r="X64" t="str">
            <v>Media - 60%</v>
          </cell>
          <cell r="Y64" t="str">
            <v>3 Moderado</v>
          </cell>
        </row>
        <row r="65">
          <cell r="W65">
            <v>0.43</v>
          </cell>
          <cell r="X65" t="str">
            <v>Media - 60%</v>
          </cell>
          <cell r="Y65" t="str">
            <v>3 Moderado</v>
          </cell>
        </row>
        <row r="66">
          <cell r="D66" t="str">
            <v>Automático</v>
          </cell>
          <cell r="E66">
            <v>0.25</v>
          </cell>
          <cell r="W66">
            <v>0.44</v>
          </cell>
          <cell r="X66" t="str">
            <v>Media - 60%</v>
          </cell>
          <cell r="Y66" t="str">
            <v>3 Moderado</v>
          </cell>
        </row>
        <row r="67">
          <cell r="D67" t="str">
            <v>Manual</v>
          </cell>
          <cell r="E67">
            <v>0.15</v>
          </cell>
          <cell r="W67">
            <v>0.45</v>
          </cell>
          <cell r="X67" t="str">
            <v>Media - 60%</v>
          </cell>
          <cell r="Y67" t="str">
            <v>3 Moderado</v>
          </cell>
        </row>
        <row r="68">
          <cell r="W68">
            <v>0.46</v>
          </cell>
          <cell r="X68" t="str">
            <v>Media - 60%</v>
          </cell>
          <cell r="Y68" t="str">
            <v>3 Moderado</v>
          </cell>
        </row>
        <row r="69">
          <cell r="W69">
            <v>0.47</v>
          </cell>
          <cell r="X69" t="str">
            <v>Media - 60%</v>
          </cell>
          <cell r="Y69" t="str">
            <v>3 Moderado</v>
          </cell>
        </row>
        <row r="70">
          <cell r="W70">
            <v>0.48</v>
          </cell>
          <cell r="X70" t="str">
            <v>Media - 60%</v>
          </cell>
          <cell r="Y70" t="str">
            <v>3 Moderado</v>
          </cell>
        </row>
        <row r="71">
          <cell r="W71">
            <v>0.49</v>
          </cell>
          <cell r="X71" t="str">
            <v>Media - 60%</v>
          </cell>
          <cell r="Y71" t="str">
            <v>3 Moderado</v>
          </cell>
        </row>
        <row r="72">
          <cell r="W72">
            <v>0.5</v>
          </cell>
          <cell r="X72" t="str">
            <v>Media - 60%</v>
          </cell>
          <cell r="Y72" t="str">
            <v>3 Moderado</v>
          </cell>
        </row>
        <row r="73">
          <cell r="W73">
            <v>0.51</v>
          </cell>
          <cell r="X73" t="str">
            <v>Media - 60%</v>
          </cell>
          <cell r="Y73" t="str">
            <v>3 Moderado</v>
          </cell>
        </row>
        <row r="74">
          <cell r="W74">
            <v>0.52</v>
          </cell>
          <cell r="X74" t="str">
            <v>Media - 60%</v>
          </cell>
          <cell r="Y74" t="str">
            <v>3 Moderado</v>
          </cell>
        </row>
        <row r="75">
          <cell r="W75">
            <v>0.53</v>
          </cell>
          <cell r="X75" t="str">
            <v>Media - 60%</v>
          </cell>
          <cell r="Y75" t="str">
            <v>3 Moderado</v>
          </cell>
        </row>
        <row r="76">
          <cell r="W76">
            <v>0.54</v>
          </cell>
          <cell r="X76" t="str">
            <v>Media - 60%</v>
          </cell>
          <cell r="Y76" t="str">
            <v>3 Moderado</v>
          </cell>
        </row>
        <row r="77">
          <cell r="W77">
            <v>0.55000000000000004</v>
          </cell>
          <cell r="X77" t="str">
            <v>Media - 60%</v>
          </cell>
          <cell r="Y77" t="str">
            <v>3 Moderado</v>
          </cell>
        </row>
        <row r="78">
          <cell r="W78">
            <v>0.56000000000000005</v>
          </cell>
          <cell r="X78" t="str">
            <v>Media - 60%</v>
          </cell>
          <cell r="Y78" t="str">
            <v>3 Moderado</v>
          </cell>
        </row>
        <row r="79">
          <cell r="W79">
            <v>0.56999999999999995</v>
          </cell>
          <cell r="X79" t="str">
            <v>Media - 60%</v>
          </cell>
          <cell r="Y79" t="str">
            <v>3 Moderado</v>
          </cell>
        </row>
        <row r="80">
          <cell r="W80">
            <v>0.57999999999999996</v>
          </cell>
          <cell r="X80" t="str">
            <v>Media - 60%</v>
          </cell>
          <cell r="Y80" t="str">
            <v>3 Moderado</v>
          </cell>
        </row>
        <row r="81">
          <cell r="W81">
            <v>0.59</v>
          </cell>
          <cell r="X81" t="str">
            <v>Media - 60%</v>
          </cell>
          <cell r="Y81" t="str">
            <v>3 Moderado</v>
          </cell>
        </row>
        <row r="82">
          <cell r="W82">
            <v>0.6</v>
          </cell>
          <cell r="X82" t="str">
            <v>Media - 60%</v>
          </cell>
          <cell r="Y82" t="str">
            <v>3 Moderado</v>
          </cell>
        </row>
        <row r="83">
          <cell r="W83">
            <v>0.61</v>
          </cell>
          <cell r="X83" t="str">
            <v>Alta - 80%</v>
          </cell>
          <cell r="Y83" t="str">
            <v>4 Mayor</v>
          </cell>
        </row>
        <row r="84">
          <cell r="W84">
            <v>0.62</v>
          </cell>
          <cell r="X84" t="str">
            <v>Alta - 80%</v>
          </cell>
          <cell r="Y84" t="str">
            <v>4 Mayor</v>
          </cell>
        </row>
        <row r="85">
          <cell r="W85">
            <v>0.63</v>
          </cell>
          <cell r="X85" t="str">
            <v>Alta - 80%</v>
          </cell>
          <cell r="Y85" t="str">
            <v>4 Mayor</v>
          </cell>
        </row>
        <row r="86">
          <cell r="W86">
            <v>0.64</v>
          </cell>
          <cell r="X86" t="str">
            <v>Alta - 80%</v>
          </cell>
          <cell r="Y86" t="str">
            <v>4 Mayor</v>
          </cell>
        </row>
        <row r="87">
          <cell r="W87">
            <v>0.65</v>
          </cell>
          <cell r="X87" t="str">
            <v>Alta - 80%</v>
          </cell>
          <cell r="Y87" t="str">
            <v>4 Mayor</v>
          </cell>
        </row>
        <row r="88">
          <cell r="W88">
            <v>0.66</v>
          </cell>
          <cell r="X88" t="str">
            <v>Alta - 80%</v>
          </cell>
          <cell r="Y88" t="str">
            <v>4 Mayor</v>
          </cell>
        </row>
        <row r="89">
          <cell r="W89">
            <v>0.67</v>
          </cell>
          <cell r="X89" t="str">
            <v>Alta - 80%</v>
          </cell>
          <cell r="Y89" t="str">
            <v>4 Mayor</v>
          </cell>
        </row>
        <row r="90">
          <cell r="W90">
            <v>0.68</v>
          </cell>
          <cell r="X90" t="str">
            <v>Alta - 80%</v>
          </cell>
          <cell r="Y90" t="str">
            <v>4 Mayor</v>
          </cell>
        </row>
        <row r="91">
          <cell r="W91">
            <v>0.69</v>
          </cell>
          <cell r="X91" t="str">
            <v>Alta - 80%</v>
          </cell>
          <cell r="Y91" t="str">
            <v>4 Mayor</v>
          </cell>
        </row>
        <row r="92">
          <cell r="W92">
            <v>0.7</v>
          </cell>
          <cell r="X92" t="str">
            <v>Alta - 80%</v>
          </cell>
          <cell r="Y92" t="str">
            <v>4 Mayor</v>
          </cell>
        </row>
        <row r="93">
          <cell r="W93">
            <v>0.71</v>
          </cell>
          <cell r="X93" t="str">
            <v>Alta - 80%</v>
          </cell>
          <cell r="Y93" t="str">
            <v>4 Mayor</v>
          </cell>
        </row>
        <row r="94">
          <cell r="W94">
            <v>0.72</v>
          </cell>
          <cell r="X94" t="str">
            <v>Alta - 80%</v>
          </cell>
          <cell r="Y94" t="str">
            <v>4 Mayor</v>
          </cell>
        </row>
        <row r="95">
          <cell r="W95">
            <v>0.73</v>
          </cell>
          <cell r="X95" t="str">
            <v>Alta - 80%</v>
          </cell>
          <cell r="Y95" t="str">
            <v>4 Mayor</v>
          </cell>
        </row>
        <row r="96">
          <cell r="W96">
            <v>0.74</v>
          </cell>
          <cell r="X96" t="str">
            <v>Alta - 80%</v>
          </cell>
          <cell r="Y96" t="str">
            <v>4 Mayor</v>
          </cell>
        </row>
        <row r="97">
          <cell r="W97">
            <v>0.75</v>
          </cell>
          <cell r="X97" t="str">
            <v>Alta - 80%</v>
          </cell>
          <cell r="Y97" t="str">
            <v>4 Mayor</v>
          </cell>
        </row>
        <row r="98">
          <cell r="W98">
            <v>0.76</v>
          </cell>
          <cell r="X98" t="str">
            <v>Alta - 80%</v>
          </cell>
          <cell r="Y98" t="str">
            <v>4 Mayor</v>
          </cell>
        </row>
        <row r="99">
          <cell r="W99">
            <v>0.77</v>
          </cell>
          <cell r="X99" t="str">
            <v>Alta - 80%</v>
          </cell>
          <cell r="Y99" t="str">
            <v>4 Mayor</v>
          </cell>
        </row>
        <row r="100">
          <cell r="K100" t="str">
            <v>Zona de riesgo inicial</v>
          </cell>
          <cell r="L100" t="str">
            <v xml:space="preserve">Opción de manejo ó tratamiento 
</v>
          </cell>
          <cell r="W100">
            <v>0.78</v>
          </cell>
          <cell r="X100" t="str">
            <v>Alta - 80%</v>
          </cell>
          <cell r="Y100" t="str">
            <v>4 Mayor</v>
          </cell>
        </row>
        <row r="101">
          <cell r="K101"/>
          <cell r="L101"/>
          <cell r="W101">
            <v>0.79</v>
          </cell>
          <cell r="X101" t="str">
            <v>Alta - 80%</v>
          </cell>
          <cell r="Y101" t="str">
            <v>4 Mayor</v>
          </cell>
        </row>
        <row r="102">
          <cell r="K102" t="str">
            <v>1 - Zona de riesgo Baja</v>
          </cell>
          <cell r="L102" t="str">
            <v>Aceptar el riesgo</v>
          </cell>
          <cell r="W102">
            <v>0.8</v>
          </cell>
          <cell r="X102" t="str">
            <v>Alta - 80%</v>
          </cell>
          <cell r="Y102" t="str">
            <v>4 Mayor</v>
          </cell>
        </row>
        <row r="103">
          <cell r="K103" t="str">
            <v>2 - Zona de riesgo Baja</v>
          </cell>
          <cell r="L103" t="str">
            <v>Aceptar el riesgo</v>
          </cell>
          <cell r="W103">
            <v>0.81</v>
          </cell>
          <cell r="X103" t="str">
            <v>Muy Alta - 100%</v>
          </cell>
          <cell r="Y103" t="str">
            <v xml:space="preserve">5 Catastrófico </v>
          </cell>
        </row>
        <row r="104">
          <cell r="K104" t="str">
            <v>3 - Zona de riesgo Moderada</v>
          </cell>
          <cell r="L104" t="str">
            <v>Reducir el riesgo</v>
          </cell>
          <cell r="W104">
            <v>0.82</v>
          </cell>
          <cell r="X104" t="str">
            <v>Muy Alta - 100%</v>
          </cell>
          <cell r="Y104" t="str">
            <v xml:space="preserve">5 Catastrófico </v>
          </cell>
        </row>
        <row r="105">
          <cell r="K105" t="str">
            <v>4 - Zona de riesgo Alta</v>
          </cell>
          <cell r="L105" t="str">
            <v>Reducir el riesgo</v>
          </cell>
          <cell r="W105">
            <v>0.83</v>
          </cell>
          <cell r="X105" t="str">
            <v>Muy Alta - 100%</v>
          </cell>
          <cell r="Y105" t="str">
            <v xml:space="preserve">5 Catastrófico </v>
          </cell>
        </row>
        <row r="106">
          <cell r="K106" t="str">
            <v>5 - Zona de riesgo Extremo</v>
          </cell>
          <cell r="L106" t="str">
            <v>Evitar o compartir el riesgo</v>
          </cell>
          <cell r="W106">
            <v>0.84</v>
          </cell>
          <cell r="X106" t="str">
            <v>Muy Alta - 100%</v>
          </cell>
          <cell r="Y106" t="str">
            <v xml:space="preserve">5 Catastrófico </v>
          </cell>
        </row>
        <row r="107">
          <cell r="W107">
            <v>0.85</v>
          </cell>
          <cell r="X107" t="str">
            <v>Muy Alta - 100%</v>
          </cell>
          <cell r="Y107" t="str">
            <v xml:space="preserve">5 Catastrófico </v>
          </cell>
        </row>
        <row r="108">
          <cell r="W108">
            <v>0.86</v>
          </cell>
          <cell r="X108" t="str">
            <v>Muy Alta - 100%</v>
          </cell>
          <cell r="Y108" t="str">
            <v xml:space="preserve">5 Catastrófico </v>
          </cell>
        </row>
        <row r="109">
          <cell r="W109">
            <v>0.87</v>
          </cell>
          <cell r="X109" t="str">
            <v>Muy Alta - 100%</v>
          </cell>
          <cell r="Y109" t="str">
            <v xml:space="preserve">5 Catastrófico </v>
          </cell>
        </row>
        <row r="110">
          <cell r="W110">
            <v>0.88</v>
          </cell>
          <cell r="X110" t="str">
            <v>Muy Alta - 100%</v>
          </cell>
          <cell r="Y110" t="str">
            <v xml:space="preserve">5 Catastrófico </v>
          </cell>
        </row>
        <row r="111">
          <cell r="W111">
            <v>0.89</v>
          </cell>
          <cell r="X111" t="str">
            <v>Muy Alta - 100%</v>
          </cell>
          <cell r="Y111" t="str">
            <v xml:space="preserve">5 Catastrófico </v>
          </cell>
        </row>
        <row r="112">
          <cell r="W112">
            <v>0.9</v>
          </cell>
          <cell r="X112" t="str">
            <v>Muy Alta - 100%</v>
          </cell>
          <cell r="Y112" t="str">
            <v xml:space="preserve">5 Catastrófico </v>
          </cell>
        </row>
        <row r="113">
          <cell r="W113">
            <v>0.91</v>
          </cell>
          <cell r="X113" t="str">
            <v>Muy Alta - 100%</v>
          </cell>
          <cell r="Y113" t="str">
            <v xml:space="preserve">5 Catastrófico </v>
          </cell>
        </row>
        <row r="114">
          <cell r="W114">
            <v>0.92</v>
          </cell>
          <cell r="X114" t="str">
            <v>Muy Alta - 100%</v>
          </cell>
          <cell r="Y114" t="str">
            <v xml:space="preserve">5 Catastrófico </v>
          </cell>
        </row>
        <row r="115">
          <cell r="W115">
            <v>0.93</v>
          </cell>
          <cell r="X115" t="str">
            <v>Muy Alta - 100%</v>
          </cell>
          <cell r="Y115" t="str">
            <v xml:space="preserve">5 Catastrófico </v>
          </cell>
        </row>
        <row r="116">
          <cell r="W116">
            <v>0.94</v>
          </cell>
          <cell r="X116" t="str">
            <v>Muy Alta - 100%</v>
          </cell>
          <cell r="Y116" t="str">
            <v xml:space="preserve">5 Catastrófico </v>
          </cell>
        </row>
        <row r="117">
          <cell r="W117">
            <v>0.95</v>
          </cell>
          <cell r="X117" t="str">
            <v>Muy Alta - 100%</v>
          </cell>
          <cell r="Y117" t="str">
            <v xml:space="preserve">5 Catastrófico </v>
          </cell>
        </row>
        <row r="118">
          <cell r="W118">
            <v>0.96</v>
          </cell>
          <cell r="X118" t="str">
            <v>Muy Alta - 100%</v>
          </cell>
          <cell r="Y118" t="str">
            <v xml:space="preserve">5 Catastrófico </v>
          </cell>
        </row>
        <row r="119">
          <cell r="W119">
            <v>0.97</v>
          </cell>
          <cell r="X119" t="str">
            <v>Muy Alta - 100%</v>
          </cell>
          <cell r="Y119" t="str">
            <v xml:space="preserve">5 Catastrófico </v>
          </cell>
        </row>
        <row r="120">
          <cell r="K120"/>
          <cell r="L120"/>
          <cell r="W120">
            <v>0.98</v>
          </cell>
          <cell r="X120" t="str">
            <v>Muy Alta - 100%</v>
          </cell>
          <cell r="Y120" t="str">
            <v xml:space="preserve">5 Catastrófico </v>
          </cell>
        </row>
        <row r="121">
          <cell r="W121">
            <v>0.99</v>
          </cell>
          <cell r="X121" t="str">
            <v>Muy Alta - 100%</v>
          </cell>
          <cell r="Y121" t="str">
            <v xml:space="preserve">5 Catastrófico </v>
          </cell>
        </row>
        <row r="122">
          <cell r="W122">
            <v>1</v>
          </cell>
          <cell r="X122" t="str">
            <v>Muy Alta - 100%</v>
          </cell>
          <cell r="Y122" t="str">
            <v xml:space="preserve">5 Catastrófico </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y Seguridad Digital"/>
      <sheetName val="Campos"/>
    </sheetNames>
    <sheetDataSet>
      <sheetData sheetId="0"/>
      <sheetData sheetId="1">
        <row r="11">
          <cell r="H11" t="str">
            <v>Probabilidad</v>
          </cell>
          <cell r="I11"/>
          <cell r="J11" t="str">
            <v>Números aleatorios</v>
          </cell>
          <cell r="K11" t="str">
            <v>Valoración Impacto</v>
          </cell>
          <cell r="L11"/>
          <cell r="M11" t="str">
            <v>Código por combinación</v>
          </cell>
          <cell r="N11" t="str">
            <v>Zona de riesgo inicial</v>
          </cell>
          <cell r="O11"/>
          <cell r="P11"/>
          <cell r="Q11" t="str">
            <v xml:space="preserve">Opción de manejo ó tratamiento 
</v>
          </cell>
        </row>
        <row r="12">
          <cell r="H12"/>
          <cell r="I12"/>
          <cell r="J12"/>
          <cell r="K12"/>
          <cell r="L12"/>
          <cell r="M12"/>
          <cell r="N12"/>
          <cell r="O12"/>
          <cell r="P12"/>
          <cell r="Q12"/>
        </row>
        <row r="13">
          <cell r="H13" t="str">
            <v>1-Muy baja</v>
          </cell>
          <cell r="I13">
            <v>1</v>
          </cell>
          <cell r="J13">
            <v>30</v>
          </cell>
          <cell r="K13" t="str">
            <v>1 Leve</v>
          </cell>
          <cell r="L13">
            <v>1</v>
          </cell>
          <cell r="M13">
            <v>31</v>
          </cell>
          <cell r="N13" t="str">
            <v>1 - Zona de riesgo Baja</v>
          </cell>
          <cell r="O13"/>
          <cell r="P13"/>
          <cell r="Q13" t="str">
            <v>Aceptar el riesgo</v>
          </cell>
        </row>
        <row r="14">
          <cell r="H14" t="str">
            <v>1-Muy baja</v>
          </cell>
          <cell r="I14">
            <v>1</v>
          </cell>
          <cell r="J14">
            <v>30</v>
          </cell>
          <cell r="K14" t="str">
            <v>2 Menor</v>
          </cell>
          <cell r="L14">
            <v>2</v>
          </cell>
          <cell r="M14">
            <v>32</v>
          </cell>
          <cell r="N14" t="str">
            <v>2 - Zona de riesgo Baja</v>
          </cell>
          <cell r="O14"/>
          <cell r="P14"/>
          <cell r="Q14" t="str">
            <v>Aceptar el riesgo</v>
          </cell>
        </row>
        <row r="15">
          <cell r="H15" t="str">
            <v>1-Muy baja</v>
          </cell>
          <cell r="I15">
            <v>1</v>
          </cell>
          <cell r="J15">
            <v>30</v>
          </cell>
          <cell r="K15" t="str">
            <v>3 Moderado</v>
          </cell>
          <cell r="L15">
            <v>3</v>
          </cell>
          <cell r="M15">
            <v>33</v>
          </cell>
          <cell r="N15" t="str">
            <v>3 - Zona de riesgo Moderada</v>
          </cell>
          <cell r="O15"/>
          <cell r="P15"/>
          <cell r="Q15" t="str">
            <v>Reducir el riesgo</v>
          </cell>
        </row>
        <row r="16">
          <cell r="H16" t="str">
            <v>1-Muy baja</v>
          </cell>
          <cell r="I16">
            <v>1</v>
          </cell>
          <cell r="J16">
            <v>30</v>
          </cell>
          <cell r="K16" t="str">
            <v>4 Mayor</v>
          </cell>
          <cell r="L16">
            <v>4</v>
          </cell>
          <cell r="M16">
            <v>34</v>
          </cell>
          <cell r="N16" t="str">
            <v>4 - Zona de riesgo Alta</v>
          </cell>
          <cell r="O16"/>
          <cell r="P16"/>
          <cell r="Q16" t="str">
            <v>Reducir el riesgo</v>
          </cell>
        </row>
        <row r="17">
          <cell r="H17" t="str">
            <v>1-Muy baja</v>
          </cell>
          <cell r="I17">
            <v>1</v>
          </cell>
          <cell r="J17">
            <v>30</v>
          </cell>
          <cell r="K17" t="str">
            <v xml:space="preserve">5 Catastrófico </v>
          </cell>
          <cell r="L17">
            <v>5</v>
          </cell>
          <cell r="M17">
            <v>35</v>
          </cell>
          <cell r="N17" t="str">
            <v>5 - Zona de riesgo Extremo</v>
          </cell>
          <cell r="O17"/>
          <cell r="P17"/>
          <cell r="Q17" t="str">
            <v>Evitar o compartir el riesgo</v>
          </cell>
        </row>
        <row r="18">
          <cell r="H18" t="str">
            <v>2- Baja</v>
          </cell>
          <cell r="I18">
            <v>2</v>
          </cell>
          <cell r="J18">
            <v>42</v>
          </cell>
          <cell r="K18" t="str">
            <v>1 Insignificante</v>
          </cell>
          <cell r="L18">
            <v>1</v>
          </cell>
          <cell r="M18">
            <v>43</v>
          </cell>
          <cell r="N18" t="str">
            <v>1 - Zona de riesgo Baja</v>
          </cell>
          <cell r="O18"/>
          <cell r="P18"/>
          <cell r="Q18" t="str">
            <v>Aceptar el riesgo</v>
          </cell>
        </row>
        <row r="19">
          <cell r="H19" t="str">
            <v>2- Baja</v>
          </cell>
          <cell r="I19">
            <v>2</v>
          </cell>
          <cell r="J19">
            <v>42</v>
          </cell>
          <cell r="K19" t="str">
            <v>2 Menor</v>
          </cell>
          <cell r="L19">
            <v>2</v>
          </cell>
          <cell r="M19">
            <v>44</v>
          </cell>
          <cell r="N19" t="str">
            <v>2 - Zona de riesgo Moderada</v>
          </cell>
          <cell r="O19"/>
          <cell r="P19"/>
          <cell r="Q19" t="str">
            <v>Reducir el riesgo</v>
          </cell>
        </row>
        <row r="20">
          <cell r="H20" t="str">
            <v>2- Baja</v>
          </cell>
          <cell r="I20">
            <v>2</v>
          </cell>
          <cell r="J20">
            <v>42</v>
          </cell>
          <cell r="K20" t="str">
            <v>3 Moderado</v>
          </cell>
          <cell r="L20">
            <v>3</v>
          </cell>
          <cell r="M20">
            <v>45</v>
          </cell>
          <cell r="N20" t="str">
            <v>3 - Zona de riesgo Moderada</v>
          </cell>
          <cell r="O20"/>
          <cell r="P20"/>
          <cell r="Q20" t="str">
            <v>Reducir el riesgo</v>
          </cell>
        </row>
        <row r="21">
          <cell r="H21" t="str">
            <v>2- Baja</v>
          </cell>
          <cell r="I21">
            <v>2</v>
          </cell>
          <cell r="J21">
            <v>42</v>
          </cell>
          <cell r="K21" t="str">
            <v>4 Mayor</v>
          </cell>
          <cell r="L21">
            <v>4</v>
          </cell>
          <cell r="M21">
            <v>46</v>
          </cell>
          <cell r="N21" t="str">
            <v>4 - Zona de riesgo Alta</v>
          </cell>
          <cell r="O21"/>
          <cell r="P21"/>
          <cell r="Q21" t="str">
            <v>Reducir el riesgo</v>
          </cell>
        </row>
        <row r="22">
          <cell r="H22" t="str">
            <v>2- Baja</v>
          </cell>
          <cell r="I22">
            <v>2</v>
          </cell>
          <cell r="J22">
            <v>42</v>
          </cell>
          <cell r="K22" t="str">
            <v xml:space="preserve">5 Catastrófico </v>
          </cell>
          <cell r="L22">
            <v>5</v>
          </cell>
          <cell r="M22">
            <v>47</v>
          </cell>
          <cell r="N22" t="str">
            <v>5 - Zona de riesgo Extremo</v>
          </cell>
          <cell r="O22"/>
          <cell r="P22"/>
          <cell r="Q22" t="str">
            <v>Evitar o compartir el riesgo</v>
          </cell>
          <cell r="X22" t="str">
            <v>Probabilidad</v>
          </cell>
        </row>
        <row r="23">
          <cell r="H23" t="str">
            <v>3- Media</v>
          </cell>
          <cell r="I23">
            <v>3</v>
          </cell>
          <cell r="J23">
            <v>52</v>
          </cell>
          <cell r="K23" t="str">
            <v>1 Leve</v>
          </cell>
          <cell r="L23">
            <v>1</v>
          </cell>
          <cell r="M23">
            <v>53</v>
          </cell>
          <cell r="N23" t="str">
            <v>1 - Zona de riesgo Moderada</v>
          </cell>
          <cell r="O23"/>
          <cell r="P23"/>
          <cell r="Q23" t="str">
            <v>Reducir el riesgo</v>
          </cell>
          <cell r="W23">
            <v>0.01</v>
          </cell>
          <cell r="X23"/>
        </row>
        <row r="24">
          <cell r="H24" t="str">
            <v>3- Media</v>
          </cell>
          <cell r="I24">
            <v>3</v>
          </cell>
          <cell r="J24">
            <v>52</v>
          </cell>
          <cell r="K24" t="str">
            <v>2 Menor</v>
          </cell>
          <cell r="L24">
            <v>2</v>
          </cell>
          <cell r="M24">
            <v>54</v>
          </cell>
          <cell r="N24" t="str">
            <v>2 - Zona de riesgo Moderada</v>
          </cell>
          <cell r="O24"/>
          <cell r="P24"/>
          <cell r="Q24" t="str">
            <v>Reducir el riesgo</v>
          </cell>
          <cell r="W24">
            <v>0.02</v>
          </cell>
          <cell r="X24" t="str">
            <v>Muy Baja - 20%</v>
          </cell>
          <cell r="Y24" t="str">
            <v>1 Leve</v>
          </cell>
        </row>
        <row r="25">
          <cell r="H25" t="str">
            <v>3- Media</v>
          </cell>
          <cell r="I25">
            <v>3</v>
          </cell>
          <cell r="J25">
            <v>52</v>
          </cell>
          <cell r="K25" t="str">
            <v>3 Moderado</v>
          </cell>
          <cell r="L25">
            <v>3</v>
          </cell>
          <cell r="M25">
            <v>55</v>
          </cell>
          <cell r="N25" t="str">
            <v>3 - Zona de riesgo Moderada</v>
          </cell>
          <cell r="O25"/>
          <cell r="P25"/>
          <cell r="Q25" t="str">
            <v>Reducir el riesgo</v>
          </cell>
          <cell r="W25">
            <v>0.03</v>
          </cell>
          <cell r="X25" t="str">
            <v>Muy Baja - 20%</v>
          </cell>
          <cell r="Y25" t="str">
            <v>1 Leve</v>
          </cell>
        </row>
        <row r="26">
          <cell r="H26" t="str">
            <v>3- Media</v>
          </cell>
          <cell r="I26">
            <v>3</v>
          </cell>
          <cell r="J26">
            <v>52</v>
          </cell>
          <cell r="K26" t="str">
            <v>4 Mayor</v>
          </cell>
          <cell r="L26">
            <v>4</v>
          </cell>
          <cell r="M26">
            <v>56</v>
          </cell>
          <cell r="N26" t="str">
            <v>4 - Zona de riesgo Alta</v>
          </cell>
          <cell r="O26"/>
          <cell r="P26"/>
          <cell r="Q26" t="str">
            <v>Reducir el riesgo</v>
          </cell>
          <cell r="W26">
            <v>0.04</v>
          </cell>
          <cell r="X26" t="str">
            <v>Muy Baja - 20%</v>
          </cell>
          <cell r="Y26" t="str">
            <v>1 Leve</v>
          </cell>
        </row>
        <row r="27">
          <cell r="H27" t="str">
            <v>3- Media</v>
          </cell>
          <cell r="I27">
            <v>3</v>
          </cell>
          <cell r="J27">
            <v>52</v>
          </cell>
          <cell r="K27" t="str">
            <v xml:space="preserve">5 Catastrófico </v>
          </cell>
          <cell r="L27">
            <v>5</v>
          </cell>
          <cell r="M27">
            <v>57</v>
          </cell>
          <cell r="N27" t="str">
            <v>5 - Zona de riesgo Extremo</v>
          </cell>
          <cell r="O27"/>
          <cell r="P27"/>
          <cell r="Q27" t="str">
            <v>Evitar o compartir el riesgo</v>
          </cell>
          <cell r="W27">
            <v>0.05</v>
          </cell>
          <cell r="X27" t="str">
            <v>Muy Baja - 20%</v>
          </cell>
          <cell r="Y27" t="str">
            <v>1 Leve</v>
          </cell>
        </row>
        <row r="28">
          <cell r="H28" t="str">
            <v>4- Alta</v>
          </cell>
          <cell r="I28">
            <v>4</v>
          </cell>
          <cell r="J28">
            <v>63</v>
          </cell>
          <cell r="K28" t="str">
            <v>1 Leve</v>
          </cell>
          <cell r="L28">
            <v>1</v>
          </cell>
          <cell r="M28">
            <v>64</v>
          </cell>
          <cell r="N28" t="str">
            <v>1 - Zona de riesgo Moderada</v>
          </cell>
          <cell r="O28"/>
          <cell r="P28"/>
          <cell r="Q28" t="str">
            <v>Reducir el riesgo</v>
          </cell>
          <cell r="W28">
            <v>0.06</v>
          </cell>
          <cell r="X28" t="str">
            <v>Muy Baja - 20%</v>
          </cell>
          <cell r="Y28" t="str">
            <v>1 Leve</v>
          </cell>
        </row>
        <row r="29">
          <cell r="H29" t="str">
            <v>4- Alta</v>
          </cell>
          <cell r="I29">
            <v>4</v>
          </cell>
          <cell r="J29">
            <v>63</v>
          </cell>
          <cell r="K29" t="str">
            <v>2 Menor</v>
          </cell>
          <cell r="L29">
            <v>2</v>
          </cell>
          <cell r="M29">
            <v>65</v>
          </cell>
          <cell r="N29" t="str">
            <v>2 - Zona de riesgo Moderada</v>
          </cell>
          <cell r="O29"/>
          <cell r="P29"/>
          <cell r="Q29" t="str">
            <v>Reducir el riesgo</v>
          </cell>
          <cell r="W29">
            <v>7.0000000000000007E-2</v>
          </cell>
          <cell r="X29" t="str">
            <v>Muy Baja - 20%</v>
          </cell>
          <cell r="Y29" t="str">
            <v>1 Leve</v>
          </cell>
        </row>
        <row r="30">
          <cell r="H30" t="str">
            <v>4- Alta</v>
          </cell>
          <cell r="I30">
            <v>4</v>
          </cell>
          <cell r="J30">
            <v>63</v>
          </cell>
          <cell r="K30" t="str">
            <v>3 Moderado</v>
          </cell>
          <cell r="L30">
            <v>3</v>
          </cell>
          <cell r="M30">
            <v>66</v>
          </cell>
          <cell r="N30" t="str">
            <v>3 - Zona de riesgo Alta</v>
          </cell>
          <cell r="O30"/>
          <cell r="P30"/>
          <cell r="Q30" t="str">
            <v>Reducir el riesgo</v>
          </cell>
          <cell r="W30">
            <v>0.08</v>
          </cell>
          <cell r="X30" t="str">
            <v>Muy Baja - 20%</v>
          </cell>
          <cell r="Y30" t="str">
            <v>1 Leve</v>
          </cell>
        </row>
        <row r="31">
          <cell r="H31" t="str">
            <v>4- Alta</v>
          </cell>
          <cell r="I31">
            <v>4</v>
          </cell>
          <cell r="J31">
            <v>63</v>
          </cell>
          <cell r="K31" t="str">
            <v>4 Mayor</v>
          </cell>
          <cell r="L31">
            <v>4</v>
          </cell>
          <cell r="M31">
            <v>67</v>
          </cell>
          <cell r="N31" t="str">
            <v>4 - Zona de riesgo Alta</v>
          </cell>
          <cell r="O31"/>
          <cell r="P31"/>
          <cell r="Q31" t="str">
            <v>Reducir el riesgo</v>
          </cell>
          <cell r="W31">
            <v>0.09</v>
          </cell>
          <cell r="X31" t="str">
            <v>Muy Baja - 20%</v>
          </cell>
          <cell r="Y31" t="str">
            <v>1 Leve</v>
          </cell>
        </row>
        <row r="32">
          <cell r="H32" t="str">
            <v>4- Alta</v>
          </cell>
          <cell r="I32">
            <v>4</v>
          </cell>
          <cell r="J32">
            <v>63</v>
          </cell>
          <cell r="K32" t="str">
            <v xml:space="preserve">5 Catastrófico </v>
          </cell>
          <cell r="L32">
            <v>5</v>
          </cell>
          <cell r="M32">
            <v>68</v>
          </cell>
          <cell r="N32" t="str">
            <v>5 - Zona de riesgo Extremo</v>
          </cell>
          <cell r="O32"/>
          <cell r="P32"/>
          <cell r="Q32" t="str">
            <v>Evitar o compartir el riesgo</v>
          </cell>
          <cell r="S32" t="str">
            <v>Valoración Impacto</v>
          </cell>
          <cell r="T32" t="str">
            <v>%</v>
          </cell>
          <cell r="W32">
            <v>0.1</v>
          </cell>
          <cell r="X32" t="str">
            <v>Muy Baja - 20%</v>
          </cell>
          <cell r="Y32" t="str">
            <v>1 Leve</v>
          </cell>
        </row>
        <row r="33">
          <cell r="H33" t="str">
            <v>5 - Muy Alta</v>
          </cell>
          <cell r="I33">
            <v>5</v>
          </cell>
          <cell r="J33">
            <v>74</v>
          </cell>
          <cell r="K33" t="str">
            <v>1 Leve</v>
          </cell>
          <cell r="L33">
            <v>1</v>
          </cell>
          <cell r="M33">
            <v>75</v>
          </cell>
          <cell r="N33" t="str">
            <v>1 - Zona de riesgo Alta</v>
          </cell>
          <cell r="O33"/>
          <cell r="P33"/>
          <cell r="Q33" t="str">
            <v>Reducir el riesgo</v>
          </cell>
          <cell r="S33"/>
          <cell r="T33"/>
          <cell r="W33">
            <v>0.11</v>
          </cell>
          <cell r="X33" t="str">
            <v>Muy Baja - 20%</v>
          </cell>
          <cell r="Y33" t="str">
            <v>1 Leve</v>
          </cell>
        </row>
        <row r="34">
          <cell r="H34" t="str">
            <v>6 - Muy Alta</v>
          </cell>
          <cell r="I34">
            <v>5</v>
          </cell>
          <cell r="J34">
            <v>74</v>
          </cell>
          <cell r="K34" t="str">
            <v>2 Menor</v>
          </cell>
          <cell r="L34">
            <v>2</v>
          </cell>
          <cell r="M34">
            <v>76</v>
          </cell>
          <cell r="N34" t="str">
            <v>2 - Zona de riesgo Alta</v>
          </cell>
          <cell r="O34"/>
          <cell r="P34"/>
          <cell r="Q34" t="str">
            <v>Reducir el riesgo</v>
          </cell>
          <cell r="S34" t="str">
            <v>1 Leve</v>
          </cell>
          <cell r="T34">
            <v>0.2</v>
          </cell>
          <cell r="W34">
            <v>0.12</v>
          </cell>
          <cell r="X34" t="str">
            <v>Muy Baja - 20%</v>
          </cell>
          <cell r="Y34" t="str">
            <v>1 Leve</v>
          </cell>
        </row>
        <row r="35">
          <cell r="H35" t="str">
            <v>7 - Muy Alta</v>
          </cell>
          <cell r="I35">
            <v>5</v>
          </cell>
          <cell r="J35">
            <v>74</v>
          </cell>
          <cell r="K35" t="str">
            <v>3 Moderado</v>
          </cell>
          <cell r="L35">
            <v>3</v>
          </cell>
          <cell r="M35">
            <v>77</v>
          </cell>
          <cell r="N35" t="str">
            <v>3 - Zona de riesgo Alta</v>
          </cell>
          <cell r="O35"/>
          <cell r="P35"/>
          <cell r="Q35" t="str">
            <v>Reducir el riesgo</v>
          </cell>
          <cell r="S35" t="str">
            <v>2 Menor</v>
          </cell>
          <cell r="T35">
            <v>0.4</v>
          </cell>
          <cell r="W35">
            <v>0.13</v>
          </cell>
          <cell r="X35" t="str">
            <v>Muy Baja - 20%</v>
          </cell>
          <cell r="Y35" t="str">
            <v>1 Leve</v>
          </cell>
        </row>
        <row r="36">
          <cell r="H36" t="str">
            <v>8 - Muy Alta</v>
          </cell>
          <cell r="I36">
            <v>5</v>
          </cell>
          <cell r="J36">
            <v>74</v>
          </cell>
          <cell r="K36" t="str">
            <v>4 Mayor</v>
          </cell>
          <cell r="L36">
            <v>4</v>
          </cell>
          <cell r="M36">
            <v>78</v>
          </cell>
          <cell r="N36" t="str">
            <v>4 - Zona de riesgo Alta</v>
          </cell>
          <cell r="O36"/>
          <cell r="P36"/>
          <cell r="Q36" t="str">
            <v>Reducir el riesgo</v>
          </cell>
          <cell r="S36" t="str">
            <v>3 Moderado</v>
          </cell>
          <cell r="T36">
            <v>0.6</v>
          </cell>
          <cell r="W36">
            <v>0.14000000000000001</v>
          </cell>
          <cell r="X36" t="str">
            <v>Muy Baja - 20%</v>
          </cell>
          <cell r="Y36" t="str">
            <v>1 Leve</v>
          </cell>
        </row>
        <row r="37">
          <cell r="H37" t="str">
            <v>9 - Muy Alta</v>
          </cell>
          <cell r="I37">
            <v>5</v>
          </cell>
          <cell r="J37">
            <v>74</v>
          </cell>
          <cell r="K37" t="str">
            <v xml:space="preserve">5 Catastrófico </v>
          </cell>
          <cell r="L37">
            <v>5</v>
          </cell>
          <cell r="M37">
            <v>79</v>
          </cell>
          <cell r="N37" t="str">
            <v>5 - Zona de riesgo Extremo</v>
          </cell>
          <cell r="O37"/>
          <cell r="P37"/>
          <cell r="Q37" t="str">
            <v>Evitar o compartir el riesgo</v>
          </cell>
          <cell r="S37" t="str">
            <v>4 Mayor</v>
          </cell>
          <cell r="T37">
            <v>0.8</v>
          </cell>
          <cell r="W37">
            <v>0.15</v>
          </cell>
          <cell r="X37" t="str">
            <v>Muy Baja - 20%</v>
          </cell>
          <cell r="Y37" t="str">
            <v>1 Leve</v>
          </cell>
        </row>
        <row r="38">
          <cell r="S38" t="str">
            <v xml:space="preserve">5 Catastrófico </v>
          </cell>
          <cell r="T38">
            <v>1</v>
          </cell>
          <cell r="W38">
            <v>0.16</v>
          </cell>
          <cell r="X38" t="str">
            <v>Muy Baja - 20%</v>
          </cell>
          <cell r="Y38" t="str">
            <v>1 Leve</v>
          </cell>
        </row>
        <row r="39">
          <cell r="W39">
            <v>0.17</v>
          </cell>
          <cell r="X39" t="str">
            <v>Muy Baja - 20%</v>
          </cell>
          <cell r="Y39" t="str">
            <v>1 Leve</v>
          </cell>
        </row>
        <row r="40">
          <cell r="W40">
            <v>0.18</v>
          </cell>
          <cell r="X40" t="str">
            <v>Muy Baja - 20%</v>
          </cell>
          <cell r="Y40" t="str">
            <v>1 Leve</v>
          </cell>
        </row>
        <row r="41">
          <cell r="W41">
            <v>0.19</v>
          </cell>
          <cell r="X41" t="str">
            <v>Muy Baja - 20%</v>
          </cell>
          <cell r="Y41" t="str">
            <v>1 Leve</v>
          </cell>
        </row>
        <row r="42">
          <cell r="W42">
            <v>0.2</v>
          </cell>
          <cell r="X42" t="str">
            <v>Muy Baja - 20%</v>
          </cell>
          <cell r="Y42" t="str">
            <v>1 Leve</v>
          </cell>
        </row>
        <row r="43">
          <cell r="W43">
            <v>0.21</v>
          </cell>
          <cell r="X43" t="str">
            <v>Baja - 40%</v>
          </cell>
          <cell r="Y43" t="str">
            <v>2 Menor</v>
          </cell>
        </row>
        <row r="44">
          <cell r="W44">
            <v>0.22</v>
          </cell>
          <cell r="X44" t="str">
            <v>Baja - 40%</v>
          </cell>
          <cell r="Y44" t="str">
            <v>2 Menor</v>
          </cell>
        </row>
        <row r="45">
          <cell r="W45">
            <v>0.23</v>
          </cell>
          <cell r="X45" t="str">
            <v>Baja - 40%</v>
          </cell>
          <cell r="Y45" t="str">
            <v>2 Menor</v>
          </cell>
        </row>
        <row r="46">
          <cell r="W46">
            <v>0.24</v>
          </cell>
          <cell r="X46" t="str">
            <v>Baja - 40%</v>
          </cell>
          <cell r="Y46" t="str">
            <v>2 Menor</v>
          </cell>
        </row>
        <row r="47">
          <cell r="W47">
            <v>0.25</v>
          </cell>
          <cell r="X47" t="str">
            <v>Baja - 40%</v>
          </cell>
          <cell r="Y47" t="str">
            <v>2 Menor</v>
          </cell>
        </row>
        <row r="48">
          <cell r="W48">
            <v>0.26</v>
          </cell>
          <cell r="X48" t="str">
            <v>Baja - 40%</v>
          </cell>
          <cell r="Y48" t="str">
            <v>2 Menor</v>
          </cell>
        </row>
        <row r="49">
          <cell r="W49">
            <v>0.27</v>
          </cell>
          <cell r="X49" t="str">
            <v>Baja - 40%</v>
          </cell>
          <cell r="Y49" t="str">
            <v>2 Menor</v>
          </cell>
        </row>
        <row r="50">
          <cell r="W50">
            <v>0.28000000000000003</v>
          </cell>
          <cell r="X50" t="str">
            <v>Baja - 40%</v>
          </cell>
          <cell r="Y50" t="str">
            <v>2 Menor</v>
          </cell>
        </row>
        <row r="51">
          <cell r="W51">
            <v>0.28999999999999998</v>
          </cell>
          <cell r="X51" t="str">
            <v>Baja - 40%</v>
          </cell>
          <cell r="Y51" t="str">
            <v>2 Menor</v>
          </cell>
        </row>
        <row r="52">
          <cell r="W52">
            <v>0.3</v>
          </cell>
          <cell r="X52" t="str">
            <v>Baja - 40%</v>
          </cell>
          <cell r="Y52" t="str">
            <v>2 Menor</v>
          </cell>
        </row>
        <row r="53">
          <cell r="W53">
            <v>0.31</v>
          </cell>
          <cell r="X53" t="str">
            <v>Baja - 40%</v>
          </cell>
          <cell r="Y53" t="str">
            <v>2 Menor</v>
          </cell>
        </row>
        <row r="54">
          <cell r="W54">
            <v>0.32</v>
          </cell>
          <cell r="X54" t="str">
            <v>Baja - 40%</v>
          </cell>
          <cell r="Y54" t="str">
            <v>2 Menor</v>
          </cell>
        </row>
        <row r="55">
          <cell r="W55">
            <v>0.33</v>
          </cell>
          <cell r="X55" t="str">
            <v>Baja - 40%</v>
          </cell>
          <cell r="Y55" t="str">
            <v>2 Menor</v>
          </cell>
        </row>
        <row r="56">
          <cell r="W56">
            <v>0.34</v>
          </cell>
          <cell r="X56" t="str">
            <v>Baja - 40%</v>
          </cell>
          <cell r="Y56" t="str">
            <v>2 Menor</v>
          </cell>
        </row>
        <row r="57">
          <cell r="W57">
            <v>0.35</v>
          </cell>
          <cell r="X57" t="str">
            <v>Baja - 40%</v>
          </cell>
          <cell r="Y57" t="str">
            <v>2 Menor</v>
          </cell>
        </row>
        <row r="58">
          <cell r="W58">
            <v>0.36</v>
          </cell>
          <cell r="X58" t="str">
            <v>Baja - 40%</v>
          </cell>
          <cell r="Y58" t="str">
            <v>2 Menor</v>
          </cell>
        </row>
        <row r="59">
          <cell r="W59">
            <v>0.37</v>
          </cell>
          <cell r="X59" t="str">
            <v>Baja - 40%</v>
          </cell>
          <cell r="Y59" t="str">
            <v>2 Menor</v>
          </cell>
        </row>
        <row r="60">
          <cell r="W60">
            <v>0.38</v>
          </cell>
          <cell r="X60" t="str">
            <v>Baja - 40%</v>
          </cell>
          <cell r="Y60" t="str">
            <v>2 Menor</v>
          </cell>
        </row>
        <row r="61">
          <cell r="W61">
            <v>0.39</v>
          </cell>
          <cell r="X61" t="str">
            <v>Baja - 40%</v>
          </cell>
          <cell r="Y61" t="str">
            <v>2 Menor</v>
          </cell>
        </row>
        <row r="62">
          <cell r="W62">
            <v>0.4</v>
          </cell>
          <cell r="X62" t="str">
            <v>Baja - 40%</v>
          </cell>
          <cell r="Y62" t="str">
            <v>2 Menor</v>
          </cell>
        </row>
        <row r="63">
          <cell r="W63">
            <v>0.41</v>
          </cell>
          <cell r="X63" t="str">
            <v>Media - 60%</v>
          </cell>
          <cell r="Y63" t="str">
            <v>3 Moderado</v>
          </cell>
        </row>
        <row r="64">
          <cell r="W64">
            <v>0.42</v>
          </cell>
          <cell r="X64" t="str">
            <v>Media - 60%</v>
          </cell>
          <cell r="Y64" t="str">
            <v>3 Moderado</v>
          </cell>
        </row>
        <row r="65">
          <cell r="W65">
            <v>0.43</v>
          </cell>
          <cell r="X65" t="str">
            <v>Media - 60%</v>
          </cell>
          <cell r="Y65" t="str">
            <v>3 Moderado</v>
          </cell>
        </row>
        <row r="66">
          <cell r="D66" t="str">
            <v>Automático</v>
          </cell>
          <cell r="E66">
            <v>0.25</v>
          </cell>
          <cell r="W66">
            <v>0.44</v>
          </cell>
          <cell r="X66" t="str">
            <v>Media - 60%</v>
          </cell>
          <cell r="Y66" t="str">
            <v>3 Moderado</v>
          </cell>
        </row>
        <row r="67">
          <cell r="D67" t="str">
            <v>Manual</v>
          </cell>
          <cell r="E67">
            <v>0.15</v>
          </cell>
          <cell r="W67">
            <v>0.45</v>
          </cell>
          <cell r="X67" t="str">
            <v>Media - 60%</v>
          </cell>
          <cell r="Y67" t="str">
            <v>3 Moderado</v>
          </cell>
        </row>
        <row r="68">
          <cell r="W68">
            <v>0.46</v>
          </cell>
          <cell r="X68" t="str">
            <v>Media - 60%</v>
          </cell>
          <cell r="Y68" t="str">
            <v>3 Moderado</v>
          </cell>
        </row>
        <row r="69">
          <cell r="W69">
            <v>0.47</v>
          </cell>
          <cell r="X69" t="str">
            <v>Media - 60%</v>
          </cell>
          <cell r="Y69" t="str">
            <v>3 Moderado</v>
          </cell>
        </row>
        <row r="70">
          <cell r="W70">
            <v>0.48</v>
          </cell>
          <cell r="X70" t="str">
            <v>Media - 60%</v>
          </cell>
          <cell r="Y70" t="str">
            <v>3 Moderado</v>
          </cell>
        </row>
        <row r="71">
          <cell r="W71">
            <v>0.49</v>
          </cell>
          <cell r="X71" t="str">
            <v>Media - 60%</v>
          </cell>
          <cell r="Y71" t="str">
            <v>3 Moderado</v>
          </cell>
        </row>
        <row r="72">
          <cell r="W72">
            <v>0.5</v>
          </cell>
          <cell r="X72" t="str">
            <v>Media - 60%</v>
          </cell>
          <cell r="Y72" t="str">
            <v>3 Moderado</v>
          </cell>
        </row>
        <row r="73">
          <cell r="W73">
            <v>0.51</v>
          </cell>
          <cell r="X73" t="str">
            <v>Media - 60%</v>
          </cell>
          <cell r="Y73" t="str">
            <v>3 Moderado</v>
          </cell>
        </row>
        <row r="74">
          <cell r="W74">
            <v>0.52</v>
          </cell>
          <cell r="X74" t="str">
            <v>Media - 60%</v>
          </cell>
          <cell r="Y74" t="str">
            <v>3 Moderado</v>
          </cell>
        </row>
        <row r="75">
          <cell r="W75">
            <v>0.53</v>
          </cell>
          <cell r="X75" t="str">
            <v>Media - 60%</v>
          </cell>
          <cell r="Y75" t="str">
            <v>3 Moderado</v>
          </cell>
        </row>
        <row r="76">
          <cell r="W76">
            <v>0.54</v>
          </cell>
          <cell r="X76" t="str">
            <v>Media - 60%</v>
          </cell>
          <cell r="Y76" t="str">
            <v>3 Moderado</v>
          </cell>
        </row>
        <row r="77">
          <cell r="W77">
            <v>0.55000000000000004</v>
          </cell>
          <cell r="X77" t="str">
            <v>Media - 60%</v>
          </cell>
          <cell r="Y77" t="str">
            <v>3 Moderado</v>
          </cell>
        </row>
        <row r="78">
          <cell r="W78">
            <v>0.56000000000000005</v>
          </cell>
          <cell r="X78" t="str">
            <v>Media - 60%</v>
          </cell>
          <cell r="Y78" t="str">
            <v>3 Moderado</v>
          </cell>
        </row>
        <row r="79">
          <cell r="W79">
            <v>0.56999999999999995</v>
          </cell>
          <cell r="X79" t="str">
            <v>Media - 60%</v>
          </cell>
          <cell r="Y79" t="str">
            <v>3 Moderado</v>
          </cell>
        </row>
        <row r="80">
          <cell r="W80">
            <v>0.57999999999999996</v>
          </cell>
          <cell r="X80" t="str">
            <v>Media - 60%</v>
          </cell>
          <cell r="Y80" t="str">
            <v>3 Moderado</v>
          </cell>
        </row>
        <row r="81">
          <cell r="W81">
            <v>0.59</v>
          </cell>
          <cell r="X81" t="str">
            <v>Media - 60%</v>
          </cell>
          <cell r="Y81" t="str">
            <v>3 Moderado</v>
          </cell>
        </row>
        <row r="82">
          <cell r="W82">
            <v>0.6</v>
          </cell>
          <cell r="X82" t="str">
            <v>Media - 60%</v>
          </cell>
          <cell r="Y82" t="str">
            <v>3 Moderado</v>
          </cell>
        </row>
        <row r="83">
          <cell r="W83">
            <v>0.61</v>
          </cell>
          <cell r="X83" t="str">
            <v>Alta - 80%</v>
          </cell>
          <cell r="Y83" t="str">
            <v>4 Mayor</v>
          </cell>
        </row>
        <row r="84">
          <cell r="W84">
            <v>0.62</v>
          </cell>
          <cell r="X84" t="str">
            <v>Alta - 80%</v>
          </cell>
          <cell r="Y84" t="str">
            <v>4 Mayor</v>
          </cell>
        </row>
        <row r="85">
          <cell r="W85">
            <v>0.63</v>
          </cell>
          <cell r="X85" t="str">
            <v>Alta - 80%</v>
          </cell>
          <cell r="Y85" t="str">
            <v>4 Mayor</v>
          </cell>
        </row>
        <row r="86">
          <cell r="W86">
            <v>0.64</v>
          </cell>
          <cell r="X86" t="str">
            <v>Alta - 80%</v>
          </cell>
          <cell r="Y86" t="str">
            <v>4 Mayor</v>
          </cell>
        </row>
        <row r="87">
          <cell r="W87">
            <v>0.65</v>
          </cell>
          <cell r="X87" t="str">
            <v>Alta - 80%</v>
          </cell>
          <cell r="Y87" t="str">
            <v>4 Mayor</v>
          </cell>
        </row>
        <row r="88">
          <cell r="W88">
            <v>0.66</v>
          </cell>
          <cell r="X88" t="str">
            <v>Alta - 80%</v>
          </cell>
          <cell r="Y88" t="str">
            <v>4 Mayor</v>
          </cell>
        </row>
        <row r="89">
          <cell r="W89">
            <v>0.67</v>
          </cell>
          <cell r="X89" t="str">
            <v>Alta - 80%</v>
          </cell>
          <cell r="Y89" t="str">
            <v>4 Mayor</v>
          </cell>
        </row>
        <row r="90">
          <cell r="W90">
            <v>0.68</v>
          </cell>
          <cell r="X90" t="str">
            <v>Alta - 80%</v>
          </cell>
          <cell r="Y90" t="str">
            <v>4 Mayor</v>
          </cell>
        </row>
        <row r="91">
          <cell r="W91">
            <v>0.69</v>
          </cell>
          <cell r="X91" t="str">
            <v>Alta - 80%</v>
          </cell>
          <cell r="Y91" t="str">
            <v>4 Mayor</v>
          </cell>
        </row>
        <row r="92">
          <cell r="W92">
            <v>0.7</v>
          </cell>
          <cell r="X92" t="str">
            <v>Alta - 80%</v>
          </cell>
          <cell r="Y92" t="str">
            <v>4 Mayor</v>
          </cell>
        </row>
        <row r="93">
          <cell r="W93">
            <v>0.71</v>
          </cell>
          <cell r="X93" t="str">
            <v>Alta - 80%</v>
          </cell>
          <cell r="Y93" t="str">
            <v>4 Mayor</v>
          </cell>
        </row>
        <row r="94">
          <cell r="W94">
            <v>0.72</v>
          </cell>
          <cell r="X94" t="str">
            <v>Alta - 80%</v>
          </cell>
          <cell r="Y94" t="str">
            <v>4 Mayor</v>
          </cell>
        </row>
        <row r="95">
          <cell r="W95">
            <v>0.73</v>
          </cell>
          <cell r="X95" t="str">
            <v>Alta - 80%</v>
          </cell>
          <cell r="Y95" t="str">
            <v>4 Mayor</v>
          </cell>
        </row>
        <row r="96">
          <cell r="W96">
            <v>0.74</v>
          </cell>
          <cell r="X96" t="str">
            <v>Alta - 80%</v>
          </cell>
          <cell r="Y96" t="str">
            <v>4 Mayor</v>
          </cell>
        </row>
        <row r="97">
          <cell r="W97">
            <v>0.75</v>
          </cell>
          <cell r="X97" t="str">
            <v>Alta - 80%</v>
          </cell>
          <cell r="Y97" t="str">
            <v>4 Mayor</v>
          </cell>
        </row>
        <row r="98">
          <cell r="W98">
            <v>0.76</v>
          </cell>
          <cell r="X98" t="str">
            <v>Alta - 80%</v>
          </cell>
          <cell r="Y98" t="str">
            <v>4 Mayor</v>
          </cell>
        </row>
        <row r="99">
          <cell r="W99">
            <v>0.77</v>
          </cell>
          <cell r="X99" t="str">
            <v>Alta - 80%</v>
          </cell>
          <cell r="Y99" t="str">
            <v>4 Mayor</v>
          </cell>
        </row>
        <row r="100">
          <cell r="W100">
            <v>0.78</v>
          </cell>
          <cell r="X100" t="str">
            <v>Alta - 80%</v>
          </cell>
          <cell r="Y100" t="str">
            <v>4 Mayor</v>
          </cell>
        </row>
        <row r="101">
          <cell r="W101">
            <v>0.79</v>
          </cell>
          <cell r="X101" t="str">
            <v>Alta - 80%</v>
          </cell>
          <cell r="Y101" t="str">
            <v>4 Mayor</v>
          </cell>
        </row>
        <row r="102">
          <cell r="W102">
            <v>0.8</v>
          </cell>
          <cell r="X102" t="str">
            <v>Alta - 80%</v>
          </cell>
          <cell r="Y102" t="str">
            <v>4 Mayor</v>
          </cell>
        </row>
        <row r="103">
          <cell r="W103">
            <v>0.81</v>
          </cell>
          <cell r="X103" t="str">
            <v>Muy Alta - 100%</v>
          </cell>
          <cell r="Y103" t="str">
            <v xml:space="preserve">5 Catastrófico </v>
          </cell>
        </row>
        <row r="104">
          <cell r="W104">
            <v>0.82</v>
          </cell>
          <cell r="X104" t="str">
            <v>Muy Alta - 100%</v>
          </cell>
          <cell r="Y104" t="str">
            <v xml:space="preserve">5 Catastrófico </v>
          </cell>
        </row>
        <row r="105">
          <cell r="W105">
            <v>0.83</v>
          </cell>
          <cell r="X105" t="str">
            <v>Muy Alta - 100%</v>
          </cell>
          <cell r="Y105" t="str">
            <v xml:space="preserve">5 Catastrófico </v>
          </cell>
        </row>
        <row r="106">
          <cell r="W106">
            <v>0.84</v>
          </cell>
          <cell r="X106" t="str">
            <v>Muy Alta - 100%</v>
          </cell>
          <cell r="Y106" t="str">
            <v xml:space="preserve">5 Catastrófico </v>
          </cell>
        </row>
        <row r="107">
          <cell r="W107">
            <v>0.85</v>
          </cell>
          <cell r="X107" t="str">
            <v>Muy Alta - 100%</v>
          </cell>
          <cell r="Y107" t="str">
            <v xml:space="preserve">5 Catastrófico </v>
          </cell>
        </row>
        <row r="108">
          <cell r="W108">
            <v>0.86</v>
          </cell>
          <cell r="X108" t="str">
            <v>Muy Alta - 100%</v>
          </cell>
          <cell r="Y108" t="str">
            <v xml:space="preserve">5 Catastrófico </v>
          </cell>
        </row>
        <row r="109">
          <cell r="W109">
            <v>0.87</v>
          </cell>
          <cell r="X109" t="str">
            <v>Muy Alta - 100%</v>
          </cell>
          <cell r="Y109" t="str">
            <v xml:space="preserve">5 Catastrófico </v>
          </cell>
        </row>
        <row r="110">
          <cell r="W110">
            <v>0.88</v>
          </cell>
          <cell r="X110" t="str">
            <v>Muy Alta - 100%</v>
          </cell>
          <cell r="Y110" t="str">
            <v xml:space="preserve">5 Catastrófico </v>
          </cell>
        </row>
        <row r="111">
          <cell r="W111">
            <v>0.89</v>
          </cell>
          <cell r="X111" t="str">
            <v>Muy Alta - 100%</v>
          </cell>
          <cell r="Y111" t="str">
            <v xml:space="preserve">5 Catastrófico </v>
          </cell>
        </row>
        <row r="112">
          <cell r="W112">
            <v>0.9</v>
          </cell>
          <cell r="X112" t="str">
            <v>Muy Alta - 100%</v>
          </cell>
          <cell r="Y112" t="str">
            <v xml:space="preserve">5 Catastrófico </v>
          </cell>
        </row>
        <row r="113">
          <cell r="W113">
            <v>0.91</v>
          </cell>
          <cell r="X113" t="str">
            <v>Muy Alta - 100%</v>
          </cell>
          <cell r="Y113" t="str">
            <v xml:space="preserve">5 Catastrófico </v>
          </cell>
        </row>
        <row r="114">
          <cell r="W114">
            <v>0.92</v>
          </cell>
          <cell r="X114" t="str">
            <v>Muy Alta - 100%</v>
          </cell>
          <cell r="Y114" t="str">
            <v xml:space="preserve">5 Catastrófico </v>
          </cell>
        </row>
        <row r="115">
          <cell r="W115">
            <v>0.93</v>
          </cell>
          <cell r="X115" t="str">
            <v>Muy Alta - 100%</v>
          </cell>
          <cell r="Y115" t="str">
            <v xml:space="preserve">5 Catastrófico </v>
          </cell>
        </row>
        <row r="116">
          <cell r="W116">
            <v>0.94</v>
          </cell>
          <cell r="X116" t="str">
            <v>Muy Alta - 100%</v>
          </cell>
          <cell r="Y116" t="str">
            <v xml:space="preserve">5 Catastrófico </v>
          </cell>
        </row>
        <row r="117">
          <cell r="W117">
            <v>0.95</v>
          </cell>
          <cell r="X117" t="str">
            <v>Muy Alta - 100%</v>
          </cell>
          <cell r="Y117" t="str">
            <v xml:space="preserve">5 Catastrófico </v>
          </cell>
        </row>
        <row r="118">
          <cell r="W118">
            <v>0.96</v>
          </cell>
          <cell r="X118" t="str">
            <v>Muy Alta - 100%</v>
          </cell>
          <cell r="Y118" t="str">
            <v xml:space="preserve">5 Catastrófico </v>
          </cell>
        </row>
        <row r="119">
          <cell r="W119">
            <v>0.97</v>
          </cell>
          <cell r="X119" t="str">
            <v>Muy Alta - 100%</v>
          </cell>
          <cell r="Y119" t="str">
            <v xml:space="preserve">5 Catastrófico </v>
          </cell>
        </row>
        <row r="120">
          <cell r="W120">
            <v>0.98</v>
          </cell>
          <cell r="X120" t="str">
            <v>Muy Alta - 100%</v>
          </cell>
          <cell r="Y120" t="str">
            <v xml:space="preserve">5 Catastrófico </v>
          </cell>
        </row>
        <row r="121">
          <cell r="W121">
            <v>0.99</v>
          </cell>
          <cell r="X121" t="str">
            <v>Muy Alta - 100%</v>
          </cell>
          <cell r="Y121" t="str">
            <v xml:space="preserve">5 Catastrófico </v>
          </cell>
        </row>
        <row r="122">
          <cell r="W122">
            <v>1</v>
          </cell>
          <cell r="X122" t="str">
            <v>Muy Alta - 100%</v>
          </cell>
          <cell r="Y122" t="str">
            <v xml:space="preserve">5 Catastrófico </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y Seguridad Digital"/>
      <sheetName val="Campos"/>
    </sheetNames>
    <sheetDataSet>
      <sheetData sheetId="0"/>
      <sheetData sheetId="1">
        <row r="11">
          <cell r="H11" t="str">
            <v>Probabilidad</v>
          </cell>
          <cell r="I11"/>
          <cell r="J11" t="str">
            <v>Números aleatorios</v>
          </cell>
          <cell r="K11" t="str">
            <v>Valoración Impacto</v>
          </cell>
          <cell r="L11"/>
          <cell r="M11" t="str">
            <v>Código por combinación</v>
          </cell>
        </row>
        <row r="12">
          <cell r="H12"/>
          <cell r="I12"/>
          <cell r="J12"/>
          <cell r="K12"/>
          <cell r="L12"/>
          <cell r="M12"/>
        </row>
        <row r="13">
          <cell r="H13" t="str">
            <v>1-Muy baja</v>
          </cell>
          <cell r="I13">
            <v>1</v>
          </cell>
          <cell r="J13">
            <v>30</v>
          </cell>
          <cell r="K13" t="str">
            <v>1 Leve</v>
          </cell>
          <cell r="L13">
            <v>1</v>
          </cell>
          <cell r="M13">
            <v>31</v>
          </cell>
        </row>
        <row r="14">
          <cell r="H14" t="str">
            <v>1-Muy baja</v>
          </cell>
          <cell r="I14">
            <v>1</v>
          </cell>
          <cell r="J14">
            <v>30</v>
          </cell>
          <cell r="K14" t="str">
            <v>2 Menor</v>
          </cell>
          <cell r="L14">
            <v>2</v>
          </cell>
          <cell r="M14">
            <v>32</v>
          </cell>
        </row>
        <row r="15">
          <cell r="H15" t="str">
            <v>1-Muy baja</v>
          </cell>
          <cell r="I15">
            <v>1</v>
          </cell>
          <cell r="J15">
            <v>30</v>
          </cell>
          <cell r="K15" t="str">
            <v>3 Moderado</v>
          </cell>
          <cell r="L15">
            <v>3</v>
          </cell>
          <cell r="M15">
            <v>33</v>
          </cell>
        </row>
        <row r="16">
          <cell r="H16" t="str">
            <v>1-Muy baja</v>
          </cell>
          <cell r="I16">
            <v>1</v>
          </cell>
          <cell r="J16">
            <v>30</v>
          </cell>
          <cell r="K16" t="str">
            <v>4 Mayor</v>
          </cell>
          <cell r="L16">
            <v>4</v>
          </cell>
          <cell r="M16">
            <v>34</v>
          </cell>
        </row>
        <row r="17">
          <cell r="H17" t="str">
            <v>1-Muy baja</v>
          </cell>
          <cell r="I17">
            <v>1</v>
          </cell>
          <cell r="J17">
            <v>30</v>
          </cell>
          <cell r="K17" t="str">
            <v xml:space="preserve">5 Catastrófico </v>
          </cell>
          <cell r="L17">
            <v>5</v>
          </cell>
          <cell r="M17">
            <v>35</v>
          </cell>
        </row>
        <row r="18">
          <cell r="H18" t="str">
            <v>2- Baja</v>
          </cell>
          <cell r="I18">
            <v>2</v>
          </cell>
          <cell r="J18">
            <v>42</v>
          </cell>
          <cell r="K18" t="str">
            <v>1 Insignificante</v>
          </cell>
          <cell r="L18">
            <v>1</v>
          </cell>
          <cell r="M18">
            <v>43</v>
          </cell>
        </row>
        <row r="19">
          <cell r="H19" t="str">
            <v>2- Baja</v>
          </cell>
          <cell r="I19">
            <v>2</v>
          </cell>
          <cell r="J19">
            <v>42</v>
          </cell>
          <cell r="K19" t="str">
            <v>2 Menor</v>
          </cell>
          <cell r="L19">
            <v>2</v>
          </cell>
          <cell r="M19">
            <v>44</v>
          </cell>
        </row>
        <row r="20">
          <cell r="H20" t="str">
            <v>2- Baja</v>
          </cell>
          <cell r="I20">
            <v>2</v>
          </cell>
          <cell r="J20">
            <v>42</v>
          </cell>
          <cell r="K20" t="str">
            <v>3 Moderado</v>
          </cell>
          <cell r="L20">
            <v>3</v>
          </cell>
          <cell r="M20">
            <v>45</v>
          </cell>
        </row>
        <row r="21">
          <cell r="H21" t="str">
            <v>2- Baja</v>
          </cell>
          <cell r="I21">
            <v>2</v>
          </cell>
          <cell r="J21">
            <v>42</v>
          </cell>
          <cell r="K21" t="str">
            <v>4 Mayor</v>
          </cell>
          <cell r="L21">
            <v>4</v>
          </cell>
          <cell r="M21">
            <v>46</v>
          </cell>
        </row>
        <row r="22">
          <cell r="H22" t="str">
            <v>2- Baja</v>
          </cell>
          <cell r="I22">
            <v>2</v>
          </cell>
          <cell r="J22">
            <v>42</v>
          </cell>
          <cell r="K22" t="str">
            <v xml:space="preserve">5 Catastrófico </v>
          </cell>
          <cell r="L22">
            <v>5</v>
          </cell>
          <cell r="M22">
            <v>47</v>
          </cell>
          <cell r="X22" t="str">
            <v>Probabilidad</v>
          </cell>
        </row>
        <row r="23">
          <cell r="H23" t="str">
            <v>3- Media</v>
          </cell>
          <cell r="I23">
            <v>3</v>
          </cell>
          <cell r="J23">
            <v>52</v>
          </cell>
          <cell r="K23" t="str">
            <v>1 Leve</v>
          </cell>
          <cell r="L23">
            <v>1</v>
          </cell>
          <cell r="M23">
            <v>53</v>
          </cell>
          <cell r="W23">
            <v>0.01</v>
          </cell>
          <cell r="X23"/>
        </row>
        <row r="24">
          <cell r="H24" t="str">
            <v>3- Media</v>
          </cell>
          <cell r="I24">
            <v>3</v>
          </cell>
          <cell r="J24">
            <v>52</v>
          </cell>
          <cell r="K24" t="str">
            <v>2 Menor</v>
          </cell>
          <cell r="L24">
            <v>2</v>
          </cell>
          <cell r="M24">
            <v>54</v>
          </cell>
          <cell r="W24">
            <v>0.02</v>
          </cell>
          <cell r="X24" t="str">
            <v>Muy Baja - 20%</v>
          </cell>
          <cell r="Y24" t="str">
            <v>1 Leve</v>
          </cell>
        </row>
        <row r="25">
          <cell r="H25" t="str">
            <v>3- Media</v>
          </cell>
          <cell r="I25">
            <v>3</v>
          </cell>
          <cell r="J25">
            <v>52</v>
          </cell>
          <cell r="K25" t="str">
            <v>3 Moderado</v>
          </cell>
          <cell r="L25">
            <v>3</v>
          </cell>
          <cell r="M25">
            <v>55</v>
          </cell>
          <cell r="W25">
            <v>0.03</v>
          </cell>
          <cell r="X25" t="str">
            <v>Muy Baja - 20%</v>
          </cell>
          <cell r="Y25" t="str">
            <v>1 Leve</v>
          </cell>
        </row>
        <row r="26">
          <cell r="H26" t="str">
            <v>3- Media</v>
          </cell>
          <cell r="I26">
            <v>3</v>
          </cell>
          <cell r="J26">
            <v>52</v>
          </cell>
          <cell r="K26" t="str">
            <v>4 Mayor</v>
          </cell>
          <cell r="L26">
            <v>4</v>
          </cell>
          <cell r="M26">
            <v>56</v>
          </cell>
          <cell r="W26">
            <v>0.04</v>
          </cell>
          <cell r="X26" t="str">
            <v>Muy Baja - 20%</v>
          </cell>
          <cell r="Y26" t="str">
            <v>1 Leve</v>
          </cell>
        </row>
        <row r="27">
          <cell r="H27" t="str">
            <v>3- Media</v>
          </cell>
          <cell r="I27">
            <v>3</v>
          </cell>
          <cell r="J27">
            <v>52</v>
          </cell>
          <cell r="K27" t="str">
            <v xml:space="preserve">5 Catastrófico </v>
          </cell>
          <cell r="L27">
            <v>5</v>
          </cell>
          <cell r="M27">
            <v>57</v>
          </cell>
          <cell r="W27">
            <v>0.05</v>
          </cell>
          <cell r="X27" t="str">
            <v>Muy Baja - 20%</v>
          </cell>
          <cell r="Y27" t="str">
            <v>1 Leve</v>
          </cell>
        </row>
        <row r="28">
          <cell r="H28" t="str">
            <v>4- Alta</v>
          </cell>
          <cell r="I28">
            <v>4</v>
          </cell>
          <cell r="J28">
            <v>63</v>
          </cell>
          <cell r="K28" t="str">
            <v>1 Leve</v>
          </cell>
          <cell r="L28">
            <v>1</v>
          </cell>
          <cell r="M28">
            <v>64</v>
          </cell>
          <cell r="W28">
            <v>0.06</v>
          </cell>
          <cell r="X28" t="str">
            <v>Muy Baja - 20%</v>
          </cell>
          <cell r="Y28" t="str">
            <v>1 Leve</v>
          </cell>
        </row>
        <row r="29">
          <cell r="H29" t="str">
            <v>4- Alta</v>
          </cell>
          <cell r="I29">
            <v>4</v>
          </cell>
          <cell r="J29">
            <v>63</v>
          </cell>
          <cell r="K29" t="str">
            <v>2 Menor</v>
          </cell>
          <cell r="L29">
            <v>2</v>
          </cell>
          <cell r="M29">
            <v>65</v>
          </cell>
          <cell r="W29">
            <v>7.0000000000000007E-2</v>
          </cell>
          <cell r="X29" t="str">
            <v>Muy Baja - 20%</v>
          </cell>
          <cell r="Y29" t="str">
            <v>1 Leve</v>
          </cell>
        </row>
        <row r="30">
          <cell r="H30" t="str">
            <v>4- Alta</v>
          </cell>
          <cell r="I30">
            <v>4</v>
          </cell>
          <cell r="J30">
            <v>63</v>
          </cell>
          <cell r="K30" t="str">
            <v>3 Moderado</v>
          </cell>
          <cell r="L30">
            <v>3</v>
          </cell>
          <cell r="M30">
            <v>66</v>
          </cell>
          <cell r="W30">
            <v>0.08</v>
          </cell>
          <cell r="X30" t="str">
            <v>Muy Baja - 20%</v>
          </cell>
          <cell r="Y30" t="str">
            <v>1 Leve</v>
          </cell>
        </row>
        <row r="31">
          <cell r="H31" t="str">
            <v>4- Alta</v>
          </cell>
          <cell r="I31">
            <v>4</v>
          </cell>
          <cell r="J31">
            <v>63</v>
          </cell>
          <cell r="K31" t="str">
            <v>4 Mayor</v>
          </cell>
          <cell r="L31">
            <v>4</v>
          </cell>
          <cell r="M31">
            <v>67</v>
          </cell>
          <cell r="W31">
            <v>0.09</v>
          </cell>
          <cell r="X31" t="str">
            <v>Muy Baja - 20%</v>
          </cell>
          <cell r="Y31" t="str">
            <v>1 Leve</v>
          </cell>
        </row>
        <row r="32">
          <cell r="H32" t="str">
            <v>4- Alta</v>
          </cell>
          <cell r="I32">
            <v>4</v>
          </cell>
          <cell r="J32">
            <v>63</v>
          </cell>
          <cell r="K32" t="str">
            <v xml:space="preserve">5 Catastrófico </v>
          </cell>
          <cell r="L32">
            <v>5</v>
          </cell>
          <cell r="M32">
            <v>68</v>
          </cell>
          <cell r="S32" t="str">
            <v>Valoración Impacto</v>
          </cell>
          <cell r="T32" t="str">
            <v>%</v>
          </cell>
          <cell r="W32">
            <v>0.1</v>
          </cell>
          <cell r="X32" t="str">
            <v>Muy Baja - 20%</v>
          </cell>
          <cell r="Y32" t="str">
            <v>1 Leve</v>
          </cell>
        </row>
        <row r="33">
          <cell r="H33" t="str">
            <v>5 - Muy Alta</v>
          </cell>
          <cell r="I33">
            <v>5</v>
          </cell>
          <cell r="J33">
            <v>74</v>
          </cell>
          <cell r="K33" t="str">
            <v>1 Leve</v>
          </cell>
          <cell r="L33">
            <v>1</v>
          </cell>
          <cell r="M33">
            <v>75</v>
          </cell>
          <cell r="S33"/>
          <cell r="T33"/>
          <cell r="W33">
            <v>0.11</v>
          </cell>
          <cell r="X33" t="str">
            <v>Muy Baja - 20%</v>
          </cell>
          <cell r="Y33" t="str">
            <v>1 Leve</v>
          </cell>
        </row>
        <row r="34">
          <cell r="H34" t="str">
            <v>6 - Muy Alta</v>
          </cell>
          <cell r="I34">
            <v>5</v>
          </cell>
          <cell r="J34">
            <v>74</v>
          </cell>
          <cell r="K34" t="str">
            <v>2 Menor</v>
          </cell>
          <cell r="L34">
            <v>2</v>
          </cell>
          <cell r="M34">
            <v>76</v>
          </cell>
          <cell r="S34" t="str">
            <v>1 Leve</v>
          </cell>
          <cell r="T34">
            <v>0.2</v>
          </cell>
          <cell r="W34">
            <v>0.12</v>
          </cell>
          <cell r="X34" t="str">
            <v>Muy Baja - 20%</v>
          </cell>
          <cell r="Y34" t="str">
            <v>1 Leve</v>
          </cell>
        </row>
        <row r="35">
          <cell r="H35" t="str">
            <v>7 - Muy Alta</v>
          </cell>
          <cell r="I35">
            <v>5</v>
          </cell>
          <cell r="J35">
            <v>74</v>
          </cell>
          <cell r="K35" t="str">
            <v>3 Moderado</v>
          </cell>
          <cell r="L35">
            <v>3</v>
          </cell>
          <cell r="M35">
            <v>77</v>
          </cell>
          <cell r="S35" t="str">
            <v>2 Menor</v>
          </cell>
          <cell r="T35">
            <v>0.4</v>
          </cell>
          <cell r="W35">
            <v>0.13</v>
          </cell>
          <cell r="X35" t="str">
            <v>Muy Baja - 20%</v>
          </cell>
          <cell r="Y35" t="str">
            <v>1 Leve</v>
          </cell>
        </row>
        <row r="36">
          <cell r="H36" t="str">
            <v>8 - Muy Alta</v>
          </cell>
          <cell r="I36">
            <v>5</v>
          </cell>
          <cell r="J36">
            <v>74</v>
          </cell>
          <cell r="K36" t="str">
            <v>4 Mayor</v>
          </cell>
          <cell r="L36">
            <v>4</v>
          </cell>
          <cell r="M36">
            <v>78</v>
          </cell>
          <cell r="S36" t="str">
            <v>3 Moderado</v>
          </cell>
          <cell r="T36">
            <v>0.6</v>
          </cell>
          <cell r="W36">
            <v>0.14000000000000001</v>
          </cell>
          <cell r="X36" t="str">
            <v>Muy Baja - 20%</v>
          </cell>
          <cell r="Y36" t="str">
            <v>1 Leve</v>
          </cell>
        </row>
        <row r="37">
          <cell r="H37" t="str">
            <v>9 - Muy Alta</v>
          </cell>
          <cell r="I37">
            <v>5</v>
          </cell>
          <cell r="J37">
            <v>74</v>
          </cell>
          <cell r="K37" t="str">
            <v xml:space="preserve">5 Catastrófico </v>
          </cell>
          <cell r="L37">
            <v>5</v>
          </cell>
          <cell r="M37">
            <v>79</v>
          </cell>
          <cell r="S37" t="str">
            <v>4 Mayor</v>
          </cell>
          <cell r="T37">
            <v>0.8</v>
          </cell>
          <cell r="W37">
            <v>0.15</v>
          </cell>
          <cell r="X37" t="str">
            <v>Muy Baja - 20%</v>
          </cell>
          <cell r="Y37" t="str">
            <v>1 Leve</v>
          </cell>
        </row>
        <row r="38">
          <cell r="S38" t="str">
            <v xml:space="preserve">5 Catastrófico </v>
          </cell>
          <cell r="T38">
            <v>1</v>
          </cell>
          <cell r="W38">
            <v>0.16</v>
          </cell>
          <cell r="X38" t="str">
            <v>Muy Baja - 20%</v>
          </cell>
          <cell r="Y38" t="str">
            <v>1 Leve</v>
          </cell>
        </row>
        <row r="39">
          <cell r="W39">
            <v>0.17</v>
          </cell>
          <cell r="X39" t="str">
            <v>Muy Baja - 20%</v>
          </cell>
          <cell r="Y39" t="str">
            <v>1 Leve</v>
          </cell>
        </row>
        <row r="40">
          <cell r="W40">
            <v>0.18</v>
          </cell>
          <cell r="X40" t="str">
            <v>Muy Baja - 20%</v>
          </cell>
          <cell r="Y40" t="str">
            <v>1 Leve</v>
          </cell>
        </row>
        <row r="41">
          <cell r="W41">
            <v>0.19</v>
          </cell>
          <cell r="X41" t="str">
            <v>Muy Baja - 20%</v>
          </cell>
          <cell r="Y41" t="str">
            <v>1 Leve</v>
          </cell>
        </row>
        <row r="42">
          <cell r="W42">
            <v>0.2</v>
          </cell>
          <cell r="X42" t="str">
            <v>Muy Baja - 20%</v>
          </cell>
          <cell r="Y42" t="str">
            <v>1 Leve</v>
          </cell>
        </row>
        <row r="43">
          <cell r="W43">
            <v>0.21</v>
          </cell>
          <cell r="X43" t="str">
            <v>Baja - 40%</v>
          </cell>
          <cell r="Y43" t="str">
            <v>2 Menor</v>
          </cell>
        </row>
        <row r="44">
          <cell r="W44">
            <v>0.22</v>
          </cell>
          <cell r="X44" t="str">
            <v>Baja - 40%</v>
          </cell>
          <cell r="Y44" t="str">
            <v>2 Menor</v>
          </cell>
        </row>
        <row r="45">
          <cell r="W45">
            <v>0.23</v>
          </cell>
          <cell r="X45" t="str">
            <v>Baja - 40%</v>
          </cell>
          <cell r="Y45" t="str">
            <v>2 Menor</v>
          </cell>
        </row>
        <row r="46">
          <cell r="W46">
            <v>0.24</v>
          </cell>
          <cell r="X46" t="str">
            <v>Baja - 40%</v>
          </cell>
          <cell r="Y46" t="str">
            <v>2 Menor</v>
          </cell>
        </row>
        <row r="47">
          <cell r="W47">
            <v>0.25</v>
          </cell>
          <cell r="X47" t="str">
            <v>Baja - 40%</v>
          </cell>
          <cell r="Y47" t="str">
            <v>2 Menor</v>
          </cell>
        </row>
        <row r="48">
          <cell r="W48">
            <v>0.26</v>
          </cell>
          <cell r="X48" t="str">
            <v>Baja - 40%</v>
          </cell>
          <cell r="Y48" t="str">
            <v>2 Menor</v>
          </cell>
        </row>
        <row r="49">
          <cell r="W49">
            <v>0.27</v>
          </cell>
          <cell r="X49" t="str">
            <v>Baja - 40%</v>
          </cell>
          <cell r="Y49" t="str">
            <v>2 Menor</v>
          </cell>
        </row>
        <row r="50">
          <cell r="W50">
            <v>0.28000000000000003</v>
          </cell>
          <cell r="X50" t="str">
            <v>Baja - 40%</v>
          </cell>
          <cell r="Y50" t="str">
            <v>2 Menor</v>
          </cell>
        </row>
        <row r="51">
          <cell r="W51">
            <v>0.28999999999999998</v>
          </cell>
          <cell r="X51" t="str">
            <v>Baja - 40%</v>
          </cell>
          <cell r="Y51" t="str">
            <v>2 Menor</v>
          </cell>
        </row>
        <row r="52">
          <cell r="W52">
            <v>0.3</v>
          </cell>
          <cell r="X52" t="str">
            <v>Baja - 40%</v>
          </cell>
          <cell r="Y52" t="str">
            <v>2 Menor</v>
          </cell>
        </row>
        <row r="53">
          <cell r="W53">
            <v>0.31</v>
          </cell>
          <cell r="X53" t="str">
            <v>Baja - 40%</v>
          </cell>
          <cell r="Y53" t="str">
            <v>2 Menor</v>
          </cell>
        </row>
        <row r="54">
          <cell r="W54">
            <v>0.32</v>
          </cell>
          <cell r="X54" t="str">
            <v>Baja - 40%</v>
          </cell>
          <cell r="Y54" t="str">
            <v>2 Menor</v>
          </cell>
        </row>
        <row r="55">
          <cell r="W55">
            <v>0.33</v>
          </cell>
          <cell r="X55" t="str">
            <v>Baja - 40%</v>
          </cell>
          <cell r="Y55" t="str">
            <v>2 Menor</v>
          </cell>
        </row>
        <row r="56">
          <cell r="W56">
            <v>0.34</v>
          </cell>
          <cell r="X56" t="str">
            <v>Baja - 40%</v>
          </cell>
          <cell r="Y56" t="str">
            <v>2 Menor</v>
          </cell>
        </row>
        <row r="57">
          <cell r="W57">
            <v>0.35</v>
          </cell>
          <cell r="X57" t="str">
            <v>Baja - 40%</v>
          </cell>
          <cell r="Y57" t="str">
            <v>2 Menor</v>
          </cell>
        </row>
        <row r="58">
          <cell r="W58">
            <v>0.36</v>
          </cell>
          <cell r="X58" t="str">
            <v>Baja - 40%</v>
          </cell>
          <cell r="Y58" t="str">
            <v>2 Menor</v>
          </cell>
        </row>
        <row r="59">
          <cell r="W59">
            <v>0.37</v>
          </cell>
          <cell r="X59" t="str">
            <v>Baja - 40%</v>
          </cell>
          <cell r="Y59" t="str">
            <v>2 Menor</v>
          </cell>
        </row>
        <row r="60">
          <cell r="W60">
            <v>0.38</v>
          </cell>
          <cell r="X60" t="str">
            <v>Baja - 40%</v>
          </cell>
          <cell r="Y60" t="str">
            <v>2 Menor</v>
          </cell>
        </row>
        <row r="61">
          <cell r="D61" t="str">
            <v>Preventivo</v>
          </cell>
          <cell r="E61">
            <v>0.25</v>
          </cell>
          <cell r="F61"/>
          <cell r="W61">
            <v>0.39</v>
          </cell>
          <cell r="X61" t="str">
            <v>Baja - 40%</v>
          </cell>
          <cell r="Y61" t="str">
            <v>2 Menor</v>
          </cell>
        </row>
        <row r="62">
          <cell r="D62" t="str">
            <v xml:space="preserve">Detectivo </v>
          </cell>
          <cell r="E62">
            <v>0.15</v>
          </cell>
          <cell r="F62"/>
          <cell r="W62">
            <v>0.4</v>
          </cell>
          <cell r="X62" t="str">
            <v>Baja - 40%</v>
          </cell>
          <cell r="Y62" t="str">
            <v>2 Menor</v>
          </cell>
        </row>
        <row r="63">
          <cell r="D63" t="str">
            <v>Correctivo</v>
          </cell>
          <cell r="E63">
            <v>0.1</v>
          </cell>
          <cell r="W63">
            <v>0.41</v>
          </cell>
          <cell r="X63" t="str">
            <v>Media - 60%</v>
          </cell>
          <cell r="Y63" t="str">
            <v>3 Moderado</v>
          </cell>
        </row>
        <row r="64">
          <cell r="W64">
            <v>0.42</v>
          </cell>
          <cell r="X64" t="str">
            <v>Media - 60%</v>
          </cell>
          <cell r="Y64" t="str">
            <v>3 Moderado</v>
          </cell>
        </row>
        <row r="65">
          <cell r="W65">
            <v>0.43</v>
          </cell>
          <cell r="X65" t="str">
            <v>Media - 60%</v>
          </cell>
          <cell r="Y65" t="str">
            <v>3 Moderado</v>
          </cell>
        </row>
        <row r="66">
          <cell r="D66" t="str">
            <v>Automático</v>
          </cell>
          <cell r="E66">
            <v>0.25</v>
          </cell>
          <cell r="W66">
            <v>0.44</v>
          </cell>
          <cell r="X66" t="str">
            <v>Media - 60%</v>
          </cell>
          <cell r="Y66" t="str">
            <v>3 Moderado</v>
          </cell>
        </row>
        <row r="67">
          <cell r="D67" t="str">
            <v>Manual</v>
          </cell>
          <cell r="E67">
            <v>0.15</v>
          </cell>
          <cell r="W67">
            <v>0.45</v>
          </cell>
          <cell r="X67" t="str">
            <v>Media - 60%</v>
          </cell>
          <cell r="Y67" t="str">
            <v>3 Moderado</v>
          </cell>
        </row>
        <row r="68">
          <cell r="W68">
            <v>0.46</v>
          </cell>
          <cell r="X68" t="str">
            <v>Media - 60%</v>
          </cell>
          <cell r="Y68" t="str">
            <v>3 Moderado</v>
          </cell>
        </row>
        <row r="69">
          <cell r="W69">
            <v>0.47</v>
          </cell>
          <cell r="X69" t="str">
            <v>Media - 60%</v>
          </cell>
          <cell r="Y69" t="str">
            <v>3 Moderado</v>
          </cell>
        </row>
        <row r="70">
          <cell r="W70">
            <v>0.48</v>
          </cell>
          <cell r="X70" t="str">
            <v>Media - 60%</v>
          </cell>
          <cell r="Y70" t="str">
            <v>3 Moderado</v>
          </cell>
        </row>
        <row r="71">
          <cell r="W71">
            <v>0.49</v>
          </cell>
          <cell r="X71" t="str">
            <v>Media - 60%</v>
          </cell>
          <cell r="Y71" t="str">
            <v>3 Moderado</v>
          </cell>
        </row>
        <row r="72">
          <cell r="W72">
            <v>0.5</v>
          </cell>
          <cell r="X72" t="str">
            <v>Media - 60%</v>
          </cell>
          <cell r="Y72" t="str">
            <v>3 Moderado</v>
          </cell>
        </row>
        <row r="73">
          <cell r="W73">
            <v>0.51</v>
          </cell>
          <cell r="X73" t="str">
            <v>Media - 60%</v>
          </cell>
          <cell r="Y73" t="str">
            <v>3 Moderado</v>
          </cell>
        </row>
        <row r="74">
          <cell r="W74">
            <v>0.52</v>
          </cell>
          <cell r="X74" t="str">
            <v>Media - 60%</v>
          </cell>
          <cell r="Y74" t="str">
            <v>3 Moderado</v>
          </cell>
        </row>
        <row r="75">
          <cell r="W75">
            <v>0.53</v>
          </cell>
          <cell r="X75" t="str">
            <v>Media - 60%</v>
          </cell>
          <cell r="Y75" t="str">
            <v>3 Moderado</v>
          </cell>
        </row>
        <row r="76">
          <cell r="W76">
            <v>0.54</v>
          </cell>
          <cell r="X76" t="str">
            <v>Media - 60%</v>
          </cell>
          <cell r="Y76" t="str">
            <v>3 Moderado</v>
          </cell>
        </row>
        <row r="77">
          <cell r="W77">
            <v>0.55000000000000004</v>
          </cell>
          <cell r="X77" t="str">
            <v>Media - 60%</v>
          </cell>
          <cell r="Y77" t="str">
            <v>3 Moderado</v>
          </cell>
        </row>
        <row r="78">
          <cell r="W78">
            <v>0.56000000000000005</v>
          </cell>
          <cell r="X78" t="str">
            <v>Media - 60%</v>
          </cell>
          <cell r="Y78" t="str">
            <v>3 Moderado</v>
          </cell>
        </row>
        <row r="79">
          <cell r="W79">
            <v>0.56999999999999995</v>
          </cell>
          <cell r="X79" t="str">
            <v>Media - 60%</v>
          </cell>
          <cell r="Y79" t="str">
            <v>3 Moderado</v>
          </cell>
        </row>
        <row r="80">
          <cell r="W80">
            <v>0.57999999999999996</v>
          </cell>
          <cell r="X80" t="str">
            <v>Media - 60%</v>
          </cell>
          <cell r="Y80" t="str">
            <v>3 Moderado</v>
          </cell>
        </row>
        <row r="81">
          <cell r="W81">
            <v>0.59</v>
          </cell>
          <cell r="X81" t="str">
            <v>Media - 60%</v>
          </cell>
          <cell r="Y81" t="str">
            <v>3 Moderado</v>
          </cell>
        </row>
        <row r="82">
          <cell r="W82">
            <v>0.6</v>
          </cell>
          <cell r="X82" t="str">
            <v>Media - 60%</v>
          </cell>
          <cell r="Y82" t="str">
            <v>3 Moderado</v>
          </cell>
        </row>
        <row r="83">
          <cell r="W83">
            <v>0.61</v>
          </cell>
          <cell r="X83" t="str">
            <v>Alta - 80%</v>
          </cell>
          <cell r="Y83" t="str">
            <v>4 Mayor</v>
          </cell>
        </row>
        <row r="84">
          <cell r="W84">
            <v>0.62</v>
          </cell>
          <cell r="X84" t="str">
            <v>Alta - 80%</v>
          </cell>
          <cell r="Y84" t="str">
            <v>4 Mayor</v>
          </cell>
        </row>
        <row r="85">
          <cell r="W85">
            <v>0.63</v>
          </cell>
          <cell r="X85" t="str">
            <v>Alta - 80%</v>
          </cell>
          <cell r="Y85" t="str">
            <v>4 Mayor</v>
          </cell>
        </row>
        <row r="86">
          <cell r="W86">
            <v>0.64</v>
          </cell>
          <cell r="X86" t="str">
            <v>Alta - 80%</v>
          </cell>
          <cell r="Y86" t="str">
            <v>4 Mayor</v>
          </cell>
        </row>
        <row r="87">
          <cell r="W87">
            <v>0.65</v>
          </cell>
          <cell r="X87" t="str">
            <v>Alta - 80%</v>
          </cell>
          <cell r="Y87" t="str">
            <v>4 Mayor</v>
          </cell>
        </row>
        <row r="88">
          <cell r="W88">
            <v>0.66</v>
          </cell>
          <cell r="X88" t="str">
            <v>Alta - 80%</v>
          </cell>
          <cell r="Y88" t="str">
            <v>4 Mayor</v>
          </cell>
        </row>
        <row r="89">
          <cell r="W89">
            <v>0.67</v>
          </cell>
          <cell r="X89" t="str">
            <v>Alta - 80%</v>
          </cell>
          <cell r="Y89" t="str">
            <v>4 Mayor</v>
          </cell>
        </row>
        <row r="90">
          <cell r="W90">
            <v>0.68</v>
          </cell>
          <cell r="X90" t="str">
            <v>Alta - 80%</v>
          </cell>
          <cell r="Y90" t="str">
            <v>4 Mayor</v>
          </cell>
        </row>
        <row r="91">
          <cell r="W91">
            <v>0.69</v>
          </cell>
          <cell r="X91" t="str">
            <v>Alta - 80%</v>
          </cell>
          <cell r="Y91" t="str">
            <v>4 Mayor</v>
          </cell>
        </row>
        <row r="92">
          <cell r="W92">
            <v>0.7</v>
          </cell>
          <cell r="X92" t="str">
            <v>Alta - 80%</v>
          </cell>
          <cell r="Y92" t="str">
            <v>4 Mayor</v>
          </cell>
        </row>
        <row r="93">
          <cell r="W93">
            <v>0.71</v>
          </cell>
          <cell r="X93" t="str">
            <v>Alta - 80%</v>
          </cell>
          <cell r="Y93" t="str">
            <v>4 Mayor</v>
          </cell>
        </row>
        <row r="94">
          <cell r="W94">
            <v>0.72</v>
          </cell>
          <cell r="X94" t="str">
            <v>Alta - 80%</v>
          </cell>
          <cell r="Y94" t="str">
            <v>4 Mayor</v>
          </cell>
        </row>
        <row r="95">
          <cell r="W95">
            <v>0.73</v>
          </cell>
          <cell r="X95" t="str">
            <v>Alta - 80%</v>
          </cell>
          <cell r="Y95" t="str">
            <v>4 Mayor</v>
          </cell>
        </row>
        <row r="96">
          <cell r="W96">
            <v>0.74</v>
          </cell>
          <cell r="X96" t="str">
            <v>Alta - 80%</v>
          </cell>
          <cell r="Y96" t="str">
            <v>4 Mayor</v>
          </cell>
        </row>
        <row r="97">
          <cell r="W97">
            <v>0.75</v>
          </cell>
          <cell r="X97" t="str">
            <v>Alta - 80%</v>
          </cell>
          <cell r="Y97" t="str">
            <v>4 Mayor</v>
          </cell>
        </row>
        <row r="98">
          <cell r="W98">
            <v>0.76</v>
          </cell>
          <cell r="X98" t="str">
            <v>Alta - 80%</v>
          </cell>
          <cell r="Y98" t="str">
            <v>4 Mayor</v>
          </cell>
        </row>
        <row r="99">
          <cell r="W99">
            <v>0.77</v>
          </cell>
          <cell r="X99" t="str">
            <v>Alta - 80%</v>
          </cell>
          <cell r="Y99" t="str">
            <v>4 Mayor</v>
          </cell>
        </row>
        <row r="100">
          <cell r="W100">
            <v>0.78</v>
          </cell>
          <cell r="X100" t="str">
            <v>Alta - 80%</v>
          </cell>
          <cell r="Y100" t="str">
            <v>4 Mayor</v>
          </cell>
        </row>
        <row r="101">
          <cell r="K101"/>
          <cell r="L101"/>
          <cell r="W101">
            <v>0.79</v>
          </cell>
          <cell r="X101" t="str">
            <v>Alta - 80%</v>
          </cell>
          <cell r="Y101" t="str">
            <v>4 Mayor</v>
          </cell>
        </row>
        <row r="102">
          <cell r="K102" t="str">
            <v>1 - Zona de riesgo Baja</v>
          </cell>
          <cell r="L102" t="str">
            <v>Aceptar el riesgo</v>
          </cell>
          <cell r="W102">
            <v>0.8</v>
          </cell>
          <cell r="X102" t="str">
            <v>Alta - 80%</v>
          </cell>
          <cell r="Y102" t="str">
            <v>4 Mayor</v>
          </cell>
        </row>
        <row r="103">
          <cell r="K103" t="str">
            <v>2 - Zona de riesgo Baja</v>
          </cell>
          <cell r="L103" t="str">
            <v>Aceptar el riesgo</v>
          </cell>
          <cell r="W103">
            <v>0.81</v>
          </cell>
          <cell r="X103" t="str">
            <v>Muy Alta - 100%</v>
          </cell>
          <cell r="Y103" t="str">
            <v xml:space="preserve">5 Catastrófico </v>
          </cell>
        </row>
        <row r="104">
          <cell r="K104" t="str">
            <v>3 - Zona de riesgo Moderada</v>
          </cell>
          <cell r="L104" t="str">
            <v>Reducir el riesgo</v>
          </cell>
          <cell r="W104">
            <v>0.82</v>
          </cell>
          <cell r="X104" t="str">
            <v>Muy Alta - 100%</v>
          </cell>
          <cell r="Y104" t="str">
            <v xml:space="preserve">5 Catastrófico </v>
          </cell>
        </row>
        <row r="105">
          <cell r="K105" t="str">
            <v>4 - Zona de riesgo Alta</v>
          </cell>
          <cell r="L105" t="str">
            <v>Reducir el riesgo</v>
          </cell>
          <cell r="W105">
            <v>0.83</v>
          </cell>
          <cell r="X105" t="str">
            <v>Muy Alta - 100%</v>
          </cell>
          <cell r="Y105" t="str">
            <v xml:space="preserve">5 Catastrófico </v>
          </cell>
        </row>
        <row r="106">
          <cell r="K106" t="str">
            <v>5 - Zona de riesgo Extremo</v>
          </cell>
          <cell r="L106" t="str">
            <v>Evitar o compartir el riesgo</v>
          </cell>
          <cell r="W106">
            <v>0.84</v>
          </cell>
          <cell r="X106" t="str">
            <v>Muy Alta - 100%</v>
          </cell>
          <cell r="Y106" t="str">
            <v xml:space="preserve">5 Catastrófico </v>
          </cell>
        </row>
        <row r="107">
          <cell r="W107">
            <v>0.85</v>
          </cell>
          <cell r="X107" t="str">
            <v>Muy Alta - 100%</v>
          </cell>
          <cell r="Y107" t="str">
            <v xml:space="preserve">5 Catastrófico </v>
          </cell>
        </row>
        <row r="108">
          <cell r="W108">
            <v>0.86</v>
          </cell>
          <cell r="X108" t="str">
            <v>Muy Alta - 100%</v>
          </cell>
          <cell r="Y108" t="str">
            <v xml:space="preserve">5 Catastrófico </v>
          </cell>
        </row>
        <row r="109">
          <cell r="W109">
            <v>0.87</v>
          </cell>
          <cell r="X109" t="str">
            <v>Muy Alta - 100%</v>
          </cell>
          <cell r="Y109" t="str">
            <v xml:space="preserve">5 Catastrófico </v>
          </cell>
        </row>
        <row r="110">
          <cell r="W110">
            <v>0.88</v>
          </cell>
          <cell r="X110" t="str">
            <v>Muy Alta - 100%</v>
          </cell>
          <cell r="Y110" t="str">
            <v xml:space="preserve">5 Catastrófico </v>
          </cell>
        </row>
        <row r="111">
          <cell r="W111">
            <v>0.89</v>
          </cell>
          <cell r="X111" t="str">
            <v>Muy Alta - 100%</v>
          </cell>
          <cell r="Y111" t="str">
            <v xml:space="preserve">5 Catastrófico </v>
          </cell>
        </row>
        <row r="112">
          <cell r="L112">
            <v>0.6</v>
          </cell>
          <cell r="W112">
            <v>0.9</v>
          </cell>
          <cell r="X112" t="str">
            <v>Muy Alta - 100%</v>
          </cell>
          <cell r="Y112" t="str">
            <v xml:space="preserve">5 Catastrófico </v>
          </cell>
        </row>
        <row r="113">
          <cell r="L113">
            <v>0.6</v>
          </cell>
          <cell r="W113">
            <v>0.91</v>
          </cell>
          <cell r="X113" t="str">
            <v>Muy Alta - 100%</v>
          </cell>
          <cell r="Y113" t="str">
            <v xml:space="preserve">5 Catastrófico </v>
          </cell>
        </row>
        <row r="114">
          <cell r="W114">
            <v>0.92</v>
          </cell>
          <cell r="X114" t="str">
            <v>Muy Alta - 100%</v>
          </cell>
          <cell r="Y114" t="str">
            <v xml:space="preserve">5 Catastrófico </v>
          </cell>
        </row>
        <row r="115">
          <cell r="W115">
            <v>0.93</v>
          </cell>
          <cell r="X115" t="str">
            <v>Muy Alta - 100%</v>
          </cell>
          <cell r="Y115" t="str">
            <v xml:space="preserve">5 Catastrófico </v>
          </cell>
        </row>
        <row r="116">
          <cell r="W116">
            <v>0.94</v>
          </cell>
          <cell r="X116" t="str">
            <v>Muy Alta - 100%</v>
          </cell>
          <cell r="Y116" t="str">
            <v xml:space="preserve">5 Catastrófico </v>
          </cell>
        </row>
        <row r="117">
          <cell r="W117">
            <v>0.95</v>
          </cell>
          <cell r="X117" t="str">
            <v>Muy Alta - 100%</v>
          </cell>
          <cell r="Y117" t="str">
            <v xml:space="preserve">5 Catastrófico </v>
          </cell>
        </row>
        <row r="118">
          <cell r="W118">
            <v>0.96</v>
          </cell>
          <cell r="X118" t="str">
            <v>Muy Alta - 100%</v>
          </cell>
          <cell r="Y118" t="str">
            <v xml:space="preserve">5 Catastrófico </v>
          </cell>
        </row>
        <row r="119">
          <cell r="W119">
            <v>0.97</v>
          </cell>
          <cell r="X119" t="str">
            <v>Muy Alta - 100%</v>
          </cell>
          <cell r="Y119" t="str">
            <v xml:space="preserve">5 Catastrófico </v>
          </cell>
        </row>
        <row r="120">
          <cell r="W120">
            <v>0.98</v>
          </cell>
          <cell r="X120" t="str">
            <v>Muy Alta - 100%</v>
          </cell>
          <cell r="Y120" t="str">
            <v xml:space="preserve">5 Catastrófico </v>
          </cell>
        </row>
        <row r="121">
          <cell r="W121">
            <v>0.99</v>
          </cell>
          <cell r="X121" t="str">
            <v>Muy Alta - 100%</v>
          </cell>
          <cell r="Y121" t="str">
            <v xml:space="preserve">5 Catastrófico </v>
          </cell>
        </row>
        <row r="122">
          <cell r="W122">
            <v>1</v>
          </cell>
          <cell r="X122" t="str">
            <v>Muy Alta - 100%</v>
          </cell>
          <cell r="Y122" t="str">
            <v xml:space="preserve">5 Catastrófico </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4.bin"/><Relationship Id="rId5" Type="http://schemas.openxmlformats.org/officeDocument/2006/relationships/comments" Target="../comments2.xml"/><Relationship Id="rId4" Type="http://schemas.openxmlformats.org/officeDocument/2006/relationships/vmlDrawing" Target="../drawings/vmlDrawing6.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362B9-FA46-4DAD-ACB9-3BDA0AB8E221}">
  <dimension ref="B1:Y42"/>
  <sheetViews>
    <sheetView showGridLines="0" tabSelected="1" topLeftCell="B1" zoomScale="70" zoomScaleNormal="70" workbookViewId="0">
      <selection activeCell="V28" sqref="V28"/>
    </sheetView>
  </sheetViews>
  <sheetFormatPr baseColWidth="10" defaultRowHeight="14"/>
  <cols>
    <col min="24" max="24" width="15" customWidth="1"/>
    <col min="25" max="25" width="11.9140625" bestFit="1" customWidth="1"/>
  </cols>
  <sheetData>
    <row r="1" spans="2:20" ht="14.5" thickBot="1"/>
    <row r="2" spans="2:20" ht="14.5" customHeight="1">
      <c r="B2" s="415" t="s">
        <v>198</v>
      </c>
      <c r="C2" s="416"/>
      <c r="D2" s="416"/>
      <c r="E2" s="416"/>
      <c r="F2" s="416"/>
      <c r="G2" s="416"/>
      <c r="H2" s="416"/>
      <c r="I2" s="416"/>
      <c r="J2" s="416"/>
      <c r="K2" s="416"/>
      <c r="L2" s="416"/>
      <c r="M2" s="416"/>
      <c r="N2" s="416"/>
      <c r="O2" s="416"/>
      <c r="P2" s="416"/>
      <c r="Q2" s="416"/>
      <c r="R2" s="416"/>
      <c r="S2" s="416"/>
      <c r="T2" s="417"/>
    </row>
    <row r="3" spans="2:20" ht="14.5" customHeight="1">
      <c r="B3" s="418"/>
      <c r="C3" s="419"/>
      <c r="D3" s="419"/>
      <c r="E3" s="419"/>
      <c r="F3" s="419"/>
      <c r="G3" s="419"/>
      <c r="H3" s="419"/>
      <c r="I3" s="419"/>
      <c r="J3" s="419"/>
      <c r="K3" s="419"/>
      <c r="L3" s="419"/>
      <c r="M3" s="419"/>
      <c r="N3" s="419"/>
      <c r="O3" s="419"/>
      <c r="P3" s="419"/>
      <c r="Q3" s="419"/>
      <c r="R3" s="419"/>
      <c r="S3" s="419"/>
      <c r="T3" s="420"/>
    </row>
    <row r="4" spans="2:20" ht="14.5" customHeight="1">
      <c r="B4" s="418"/>
      <c r="C4" s="419"/>
      <c r="D4" s="419"/>
      <c r="E4" s="419"/>
      <c r="F4" s="419"/>
      <c r="G4" s="419"/>
      <c r="H4" s="419"/>
      <c r="I4" s="419"/>
      <c r="J4" s="419"/>
      <c r="K4" s="419"/>
      <c r="L4" s="419"/>
      <c r="M4" s="419"/>
      <c r="N4" s="419"/>
      <c r="O4" s="419"/>
      <c r="P4" s="419"/>
      <c r="Q4" s="419"/>
      <c r="R4" s="419"/>
      <c r="S4" s="419"/>
      <c r="T4" s="420"/>
    </row>
    <row r="5" spans="2:20" ht="14.5" customHeight="1">
      <c r="B5" s="418"/>
      <c r="C5" s="419"/>
      <c r="D5" s="419"/>
      <c r="E5" s="419"/>
      <c r="F5" s="419"/>
      <c r="G5" s="419"/>
      <c r="H5" s="419"/>
      <c r="I5" s="419"/>
      <c r="J5" s="419"/>
      <c r="K5" s="419"/>
      <c r="L5" s="419"/>
      <c r="M5" s="419"/>
      <c r="N5" s="419"/>
      <c r="O5" s="419"/>
      <c r="P5" s="419"/>
      <c r="Q5" s="419"/>
      <c r="R5" s="419"/>
      <c r="S5" s="419"/>
      <c r="T5" s="420"/>
    </row>
    <row r="6" spans="2:20" ht="14.5" customHeight="1">
      <c r="B6" s="418"/>
      <c r="C6" s="419"/>
      <c r="D6" s="419"/>
      <c r="E6" s="419"/>
      <c r="F6" s="419"/>
      <c r="G6" s="419"/>
      <c r="H6" s="419"/>
      <c r="I6" s="419"/>
      <c r="J6" s="419"/>
      <c r="K6" s="419"/>
      <c r="L6" s="419"/>
      <c r="M6" s="419"/>
      <c r="N6" s="419"/>
      <c r="O6" s="419"/>
      <c r="P6" s="419"/>
      <c r="Q6" s="419"/>
      <c r="R6" s="419"/>
      <c r="S6" s="419"/>
      <c r="T6" s="420"/>
    </row>
    <row r="7" spans="2:20" ht="14.5" customHeight="1">
      <c r="B7" s="418"/>
      <c r="C7" s="419"/>
      <c r="D7" s="419"/>
      <c r="E7" s="419"/>
      <c r="F7" s="419"/>
      <c r="G7" s="419"/>
      <c r="H7" s="419"/>
      <c r="I7" s="419"/>
      <c r="J7" s="419"/>
      <c r="K7" s="419"/>
      <c r="L7" s="419"/>
      <c r="M7" s="419"/>
      <c r="N7" s="419"/>
      <c r="O7" s="419"/>
      <c r="P7" s="419"/>
      <c r="Q7" s="419"/>
      <c r="R7" s="419"/>
      <c r="S7" s="419"/>
      <c r="T7" s="420"/>
    </row>
    <row r="8" spans="2:20" ht="40.5" customHeight="1" thickBot="1">
      <c r="B8" s="421"/>
      <c r="C8" s="422"/>
      <c r="D8" s="422"/>
      <c r="E8" s="422"/>
      <c r="F8" s="422"/>
      <c r="G8" s="422"/>
      <c r="H8" s="422"/>
      <c r="I8" s="422"/>
      <c r="J8" s="422"/>
      <c r="K8" s="422"/>
      <c r="L8" s="422"/>
      <c r="M8" s="422"/>
      <c r="N8" s="422"/>
      <c r="O8" s="422"/>
      <c r="P8" s="422"/>
      <c r="Q8" s="422"/>
      <c r="R8" s="422"/>
      <c r="S8" s="422"/>
      <c r="T8" s="423"/>
    </row>
    <row r="9" spans="2:20" ht="14.5" thickBot="1">
      <c r="B9" s="357"/>
      <c r="T9" s="358"/>
    </row>
    <row r="10" spans="2:20">
      <c r="B10" s="357"/>
      <c r="J10" s="410" t="s">
        <v>202</v>
      </c>
      <c r="K10" s="410"/>
      <c r="L10" s="410"/>
      <c r="M10" s="410"/>
      <c r="N10" s="410"/>
      <c r="O10" s="410"/>
      <c r="P10" s="410"/>
      <c r="Q10" s="410"/>
      <c r="R10" s="410"/>
      <c r="S10" s="410"/>
      <c r="T10" s="411"/>
    </row>
    <row r="11" spans="2:20" ht="14.5" thickBot="1">
      <c r="B11" s="357"/>
      <c r="J11" s="412"/>
      <c r="K11" s="412"/>
      <c r="L11" s="412"/>
      <c r="M11" s="412"/>
      <c r="N11" s="412"/>
      <c r="O11" s="412"/>
      <c r="P11" s="412"/>
      <c r="Q11" s="412"/>
      <c r="R11" s="412"/>
      <c r="S11" s="412"/>
      <c r="T11" s="413"/>
    </row>
    <row r="12" spans="2:20">
      <c r="B12" s="357"/>
      <c r="T12" s="358"/>
    </row>
    <row r="13" spans="2:20">
      <c r="B13" s="357"/>
      <c r="T13" s="358"/>
    </row>
    <row r="14" spans="2:20">
      <c r="B14" s="357"/>
      <c r="T14" s="358"/>
    </row>
    <row r="15" spans="2:20" ht="14.5" thickBot="1">
      <c r="B15" s="357"/>
      <c r="T15" s="358"/>
    </row>
    <row r="16" spans="2:20" ht="14.5" customHeight="1">
      <c r="B16" s="357"/>
      <c r="J16" s="410" t="s">
        <v>715</v>
      </c>
      <c r="K16" s="410"/>
      <c r="L16" s="410"/>
      <c r="M16" s="410"/>
      <c r="N16" s="410"/>
      <c r="O16" s="410"/>
      <c r="P16" s="410"/>
      <c r="Q16" s="410"/>
      <c r="R16" s="410"/>
      <c r="S16" s="410"/>
      <c r="T16" s="411"/>
    </row>
    <row r="17" spans="2:25" ht="15" customHeight="1" thickBot="1">
      <c r="B17" s="357"/>
      <c r="J17" s="412"/>
      <c r="K17" s="412"/>
      <c r="L17" s="412"/>
      <c r="M17" s="412"/>
      <c r="N17" s="412"/>
      <c r="O17" s="412"/>
      <c r="P17" s="412"/>
      <c r="Q17" s="412"/>
      <c r="R17" s="412"/>
      <c r="S17" s="412"/>
      <c r="T17" s="413"/>
    </row>
    <row r="18" spans="2:25">
      <c r="B18" s="357"/>
      <c r="T18" s="358"/>
      <c r="W18" s="414" t="s">
        <v>1069</v>
      </c>
      <c r="X18" s="414"/>
      <c r="Y18" s="414"/>
    </row>
    <row r="19" spans="2:25">
      <c r="B19" s="357"/>
      <c r="T19" s="358"/>
    </row>
    <row r="20" spans="2:25" ht="14.5" thickBot="1">
      <c r="B20" s="357"/>
      <c r="T20" s="358"/>
    </row>
    <row r="21" spans="2:25" ht="14.5" thickBot="1">
      <c r="B21" s="357"/>
      <c r="T21" s="358"/>
      <c r="W21" s="360" t="s">
        <v>1066</v>
      </c>
      <c r="X21" s="361"/>
      <c r="Y21" s="362">
        <v>45322</v>
      </c>
    </row>
    <row r="22" spans="2:25" ht="14.5" customHeight="1" thickBot="1">
      <c r="B22" s="357"/>
      <c r="J22" s="410" t="s">
        <v>1064</v>
      </c>
      <c r="K22" s="410"/>
      <c r="L22" s="410"/>
      <c r="M22" s="410"/>
      <c r="N22" s="410"/>
      <c r="O22" s="410"/>
      <c r="P22" s="410"/>
      <c r="Q22" s="410"/>
      <c r="R22" s="410"/>
      <c r="S22" s="410"/>
      <c r="T22" s="411"/>
      <c r="W22" s="363" t="s">
        <v>1067</v>
      </c>
      <c r="X22" s="364"/>
      <c r="Y22" s="365" t="s">
        <v>1065</v>
      </c>
    </row>
    <row r="23" spans="2:25" ht="15" customHeight="1" thickBot="1">
      <c r="B23" s="357"/>
      <c r="J23" s="412"/>
      <c r="K23" s="412"/>
      <c r="L23" s="412"/>
      <c r="M23" s="412"/>
      <c r="N23" s="412"/>
      <c r="O23" s="412"/>
      <c r="P23" s="412"/>
      <c r="Q23" s="412"/>
      <c r="R23" s="412"/>
      <c r="S23" s="412"/>
      <c r="T23" s="413"/>
    </row>
    <row r="24" spans="2:25">
      <c r="B24" s="357"/>
      <c r="T24" s="358"/>
    </row>
    <row r="25" spans="2:25">
      <c r="B25" s="357"/>
      <c r="T25" s="358"/>
    </row>
    <row r="26" spans="2:25">
      <c r="B26" s="357"/>
      <c r="T26" s="358"/>
    </row>
    <row r="27" spans="2:25">
      <c r="B27" s="357"/>
      <c r="T27" s="358"/>
    </row>
    <row r="28" spans="2:25" ht="14.5" thickBot="1">
      <c r="B28" s="357"/>
      <c r="T28" s="358"/>
    </row>
    <row r="29" spans="2:25" ht="14.5" customHeight="1">
      <c r="B29" s="357"/>
      <c r="J29" s="410" t="s">
        <v>52</v>
      </c>
      <c r="K29" s="410"/>
      <c r="L29" s="410"/>
      <c r="M29" s="410"/>
      <c r="N29" s="410"/>
      <c r="O29" s="410"/>
      <c r="P29" s="410"/>
      <c r="Q29" s="410"/>
      <c r="R29" s="410"/>
      <c r="S29" s="410"/>
      <c r="T29" s="411"/>
    </row>
    <row r="30" spans="2:25" ht="15" customHeight="1" thickBot="1">
      <c r="B30" s="357"/>
      <c r="J30" s="412"/>
      <c r="K30" s="412"/>
      <c r="L30" s="412"/>
      <c r="M30" s="412"/>
      <c r="N30" s="412"/>
      <c r="O30" s="412"/>
      <c r="P30" s="412"/>
      <c r="Q30" s="412"/>
      <c r="R30" s="412"/>
      <c r="S30" s="412"/>
      <c r="T30" s="413"/>
    </row>
    <row r="31" spans="2:25">
      <c r="B31" s="357"/>
      <c r="T31" s="358"/>
    </row>
    <row r="32" spans="2:25">
      <c r="B32" s="357"/>
      <c r="T32" s="358"/>
    </row>
    <row r="33" spans="2:20">
      <c r="B33" s="357"/>
      <c r="T33" s="358"/>
    </row>
    <row r="34" spans="2:20">
      <c r="B34" s="357"/>
      <c r="T34" s="358"/>
    </row>
    <row r="35" spans="2:20" ht="14.5" thickBot="1">
      <c r="B35" s="357"/>
      <c r="T35" s="358"/>
    </row>
    <row r="36" spans="2:20">
      <c r="B36" s="357"/>
      <c r="J36" s="410" t="s">
        <v>1068</v>
      </c>
      <c r="K36" s="410"/>
      <c r="L36" s="410"/>
      <c r="M36" s="410"/>
      <c r="N36" s="410"/>
      <c r="O36" s="410"/>
      <c r="P36" s="410"/>
      <c r="Q36" s="410"/>
      <c r="R36" s="410"/>
      <c r="S36" s="410"/>
      <c r="T36" s="411"/>
    </row>
    <row r="37" spans="2:20" ht="14.5" thickBot="1">
      <c r="B37" s="357"/>
      <c r="J37" s="412"/>
      <c r="K37" s="412"/>
      <c r="L37" s="412"/>
      <c r="M37" s="412"/>
      <c r="N37" s="412"/>
      <c r="O37" s="412"/>
      <c r="P37" s="412"/>
      <c r="Q37" s="412"/>
      <c r="R37" s="412"/>
      <c r="S37" s="412"/>
      <c r="T37" s="413"/>
    </row>
    <row r="38" spans="2:20">
      <c r="B38" s="357"/>
      <c r="T38" s="358"/>
    </row>
    <row r="39" spans="2:20">
      <c r="B39" s="357"/>
      <c r="T39" s="358"/>
    </row>
    <row r="40" spans="2:20">
      <c r="B40" s="357"/>
      <c r="T40" s="358"/>
    </row>
    <row r="41" spans="2:20">
      <c r="B41" s="357"/>
      <c r="T41" s="358"/>
    </row>
    <row r="42" spans="2:20" ht="14.5" thickBot="1">
      <c r="B42" s="359"/>
      <c r="C42" s="355"/>
      <c r="D42" s="355"/>
      <c r="E42" s="355"/>
      <c r="F42" s="355"/>
      <c r="G42" s="355"/>
      <c r="H42" s="355"/>
      <c r="I42" s="355"/>
      <c r="J42" s="355"/>
      <c r="K42" s="355"/>
      <c r="L42" s="355"/>
      <c r="M42" s="355"/>
      <c r="N42" s="355"/>
      <c r="O42" s="355"/>
      <c r="P42" s="355"/>
      <c r="Q42" s="355"/>
      <c r="R42" s="355"/>
      <c r="S42" s="355"/>
      <c r="T42" s="356"/>
    </row>
  </sheetData>
  <mergeCells count="7">
    <mergeCell ref="J36:T37"/>
    <mergeCell ref="W18:Y18"/>
    <mergeCell ref="B2:T8"/>
    <mergeCell ref="J10:T11"/>
    <mergeCell ref="J16:T17"/>
    <mergeCell ref="J22:T23"/>
    <mergeCell ref="J29:T3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BK43"/>
  <sheetViews>
    <sheetView showGridLines="0" showRuler="0" showWhiteSpace="0" zoomScale="55" zoomScaleNormal="55" zoomScaleSheetLayoutView="10" workbookViewId="0">
      <pane xSplit="5" ySplit="11" topLeftCell="F12" activePane="bottomRight" state="frozen"/>
      <selection pane="topRight" activeCell="F1" sqref="F1"/>
      <selection pane="bottomLeft" activeCell="A12" sqref="A12"/>
      <selection pane="bottomRight" activeCell="C12" sqref="C12:C14"/>
    </sheetView>
  </sheetViews>
  <sheetFormatPr baseColWidth="10" defaultColWidth="11.4140625" defaultRowHeight="15.5"/>
  <cols>
    <col min="1" max="1" width="15.4140625" style="146" customWidth="1"/>
    <col min="2" max="2" width="28.4140625" style="368" customWidth="1"/>
    <col min="3" max="3" width="18.4140625" style="393" customWidth="1"/>
    <col min="4" max="4" width="75.9140625" style="160" bestFit="1" customWidth="1"/>
    <col min="5" max="5" width="17.4140625" style="160" customWidth="1"/>
    <col min="6" max="6" width="38.6640625" style="160" customWidth="1"/>
    <col min="7" max="7" width="42.75" style="160" customWidth="1"/>
    <col min="8" max="8" width="19" style="160" customWidth="1"/>
    <col min="9" max="9" width="25.75" style="160" customWidth="1"/>
    <col min="10" max="10" width="16.1640625" style="160" customWidth="1"/>
    <col min="11" max="11" width="14.33203125" style="160" customWidth="1"/>
    <col min="12" max="12" width="11.4140625" style="160" customWidth="1"/>
    <col min="13" max="13" width="22.75" style="160" customWidth="1"/>
    <col min="14" max="14" width="37.6640625" style="159" customWidth="1"/>
    <col min="15" max="15" width="51.75" style="160" customWidth="1"/>
    <col min="16" max="17" width="26.75" style="160" customWidth="1"/>
    <col min="18" max="18" width="10.4140625" style="159" customWidth="1"/>
    <col min="19" max="19" width="5" style="159" hidden="1" customWidth="1"/>
    <col min="20" max="20" width="11.4140625" style="159" customWidth="1"/>
    <col min="21" max="21" width="2.1640625" style="159" hidden="1" customWidth="1"/>
    <col min="22" max="22" width="4.4140625" style="159" hidden="1" customWidth="1"/>
    <col min="23" max="23" width="17.9140625" style="159" customWidth="1"/>
    <col min="24" max="24" width="44.9140625" style="159" customWidth="1"/>
    <col min="25" max="25" width="17" style="159" bestFit="1" customWidth="1"/>
    <col min="26" max="26" width="14.1640625" style="159" customWidth="1"/>
    <col min="27" max="27" width="15.08203125" style="159" bestFit="1" customWidth="1"/>
    <col min="28" max="28" width="12.1640625" style="159" customWidth="1"/>
    <col min="29" max="29" width="17.33203125" style="159" customWidth="1"/>
    <col min="30" max="30" width="12.1640625" style="159" hidden="1" customWidth="1"/>
    <col min="31" max="32" width="17" style="159" customWidth="1"/>
    <col min="33" max="33" width="16.4140625" style="159" customWidth="1"/>
    <col min="34" max="34" width="16.83203125" style="159" hidden="1" customWidth="1"/>
    <col min="35" max="35" width="5.75" style="159" hidden="1" customWidth="1"/>
    <col min="36" max="36" width="8.5" style="159" hidden="1" customWidth="1"/>
    <col min="37" max="37" width="4.9140625" style="159" hidden="1" customWidth="1"/>
    <col min="38" max="38" width="7.25" style="171" hidden="1" customWidth="1"/>
    <col min="39" max="39" width="14.5" style="159" customWidth="1"/>
    <col min="40" max="40" width="10.08203125" style="159" hidden="1" customWidth="1"/>
    <col min="41" max="41" width="11.25" style="159" hidden="1" customWidth="1"/>
    <col min="42" max="42" width="20.9140625" style="159" customWidth="1"/>
    <col min="43" max="43" width="21" style="159" customWidth="1"/>
    <col min="44" max="44" width="39.83203125" style="159" customWidth="1"/>
    <col min="45" max="45" width="25.9140625" style="160" customWidth="1"/>
    <col min="46" max="46" width="25.4140625" style="160" customWidth="1"/>
    <col min="47" max="47" width="15.08203125" style="160" customWidth="1"/>
    <col min="48" max="48" width="13.9140625" style="160" customWidth="1"/>
    <col min="49" max="49" width="17.1640625" style="160" customWidth="1"/>
    <col min="50" max="50" width="37.9140625" style="160" customWidth="1"/>
    <col min="51" max="53" width="26.4140625" style="160" customWidth="1"/>
    <col min="54" max="54" width="15.4140625" style="160" customWidth="1"/>
    <col min="55" max="16384" width="11.4140625" style="835"/>
  </cols>
  <sheetData>
    <row r="1" spans="1:63" s="831" customFormat="1" ht="26.25" customHeight="1">
      <c r="A1" s="172"/>
      <c r="B1" s="398"/>
      <c r="C1" s="444" t="s">
        <v>166</v>
      </c>
      <c r="D1" s="444"/>
      <c r="E1" s="444"/>
      <c r="F1" s="444"/>
      <c r="G1" s="444"/>
      <c r="H1" s="444"/>
      <c r="I1" s="444"/>
      <c r="J1" s="444"/>
      <c r="K1" s="444"/>
      <c r="L1" s="444"/>
      <c r="M1" s="2" t="s">
        <v>0</v>
      </c>
      <c r="N1" s="81" t="s">
        <v>173</v>
      </c>
      <c r="O1" s="160"/>
      <c r="P1" s="160"/>
      <c r="Q1" s="160"/>
      <c r="R1" s="159"/>
      <c r="S1" s="159"/>
      <c r="T1" s="159"/>
      <c r="U1" s="159"/>
      <c r="V1" s="159"/>
      <c r="W1" s="159"/>
      <c r="X1" s="159"/>
      <c r="Y1" s="159"/>
      <c r="Z1" s="159"/>
      <c r="AA1" s="159"/>
      <c r="AB1" s="159"/>
      <c r="AC1" s="159"/>
      <c r="AD1" s="159"/>
      <c r="AE1" s="159"/>
      <c r="AF1" s="159"/>
      <c r="AG1" s="159"/>
      <c r="AH1" s="155"/>
      <c r="AI1" s="155"/>
      <c r="AJ1" s="155"/>
      <c r="AK1" s="155"/>
      <c r="AL1" s="157"/>
      <c r="AM1" s="155"/>
      <c r="AN1" s="155"/>
      <c r="AO1" s="155"/>
      <c r="AP1" s="155"/>
      <c r="AQ1" s="155"/>
      <c r="AR1" s="155"/>
      <c r="AS1" s="153"/>
      <c r="AT1" s="153"/>
      <c r="AU1" s="153"/>
      <c r="AV1" s="153"/>
      <c r="AW1" s="153"/>
      <c r="AX1" s="153"/>
      <c r="AY1" s="153"/>
      <c r="AZ1" s="153"/>
      <c r="BA1" s="153"/>
      <c r="BB1" s="153"/>
    </row>
    <row r="2" spans="1:63" s="831" customFormat="1" ht="22.5" customHeight="1">
      <c r="A2" s="173"/>
      <c r="B2" s="399"/>
      <c r="C2" s="444" t="s">
        <v>172</v>
      </c>
      <c r="D2" s="444"/>
      <c r="E2" s="444"/>
      <c r="F2" s="444"/>
      <c r="G2" s="444"/>
      <c r="H2" s="444"/>
      <c r="I2" s="444"/>
      <c r="J2" s="444"/>
      <c r="K2" s="444"/>
      <c r="L2" s="444"/>
      <c r="M2" s="2" t="s">
        <v>1</v>
      </c>
      <c r="N2" s="3">
        <v>1</v>
      </c>
      <c r="O2" s="160"/>
      <c r="P2" s="160"/>
      <c r="Q2" s="160"/>
      <c r="R2" s="159"/>
      <c r="S2" s="159"/>
      <c r="T2" s="159"/>
      <c r="U2" s="159"/>
      <c r="V2" s="159"/>
      <c r="W2" s="159"/>
      <c r="X2" s="159"/>
      <c r="Y2" s="159"/>
      <c r="Z2" s="159"/>
      <c r="AA2" s="159"/>
      <c r="AB2" s="159"/>
      <c r="AC2" s="159"/>
      <c r="AD2" s="159"/>
      <c r="AE2" s="159"/>
      <c r="AF2" s="159"/>
      <c r="AG2" s="159"/>
      <c r="AH2" s="155"/>
      <c r="AI2" s="155"/>
      <c r="AJ2" s="155"/>
      <c r="AK2" s="155"/>
      <c r="AL2" s="157"/>
      <c r="AM2" s="155"/>
      <c r="AN2" s="155"/>
      <c r="AO2" s="155"/>
      <c r="AP2" s="155"/>
      <c r="AQ2" s="155"/>
      <c r="AR2" s="155"/>
      <c r="AS2" s="153"/>
      <c r="AT2" s="153"/>
      <c r="AU2" s="153"/>
      <c r="AV2" s="153"/>
      <c r="AW2" s="153"/>
      <c r="AX2" s="153"/>
      <c r="AY2" s="153"/>
      <c r="AZ2" s="153"/>
      <c r="BA2" s="153"/>
      <c r="BB2" s="153"/>
    </row>
    <row r="3" spans="1:63" s="831" customFormat="1" ht="22.5" customHeight="1">
      <c r="A3" s="174"/>
      <c r="B3" s="400"/>
      <c r="C3" s="444"/>
      <c r="D3" s="444"/>
      <c r="E3" s="444"/>
      <c r="F3" s="444"/>
      <c r="G3" s="444"/>
      <c r="H3" s="444"/>
      <c r="I3" s="444"/>
      <c r="J3" s="444"/>
      <c r="K3" s="444"/>
      <c r="L3" s="444"/>
      <c r="M3" s="2" t="s">
        <v>2</v>
      </c>
      <c r="N3" s="7">
        <v>45257</v>
      </c>
      <c r="O3" s="160"/>
      <c r="P3" s="160"/>
      <c r="Q3" s="160"/>
      <c r="R3" s="159"/>
      <c r="S3" s="159"/>
      <c r="T3" s="159"/>
      <c r="U3" s="159"/>
      <c r="V3" s="159"/>
      <c r="W3" s="159"/>
      <c r="X3" s="159"/>
      <c r="Y3" s="159"/>
      <c r="Z3" s="159"/>
      <c r="AA3" s="159"/>
      <c r="AB3" s="159"/>
      <c r="AC3" s="159"/>
      <c r="AD3" s="159"/>
      <c r="AE3" s="159"/>
      <c r="AF3" s="159"/>
      <c r="AG3" s="159"/>
      <c r="AH3" s="155"/>
      <c r="AI3" s="155"/>
      <c r="AJ3" s="155"/>
      <c r="AK3" s="155"/>
      <c r="AL3" s="157"/>
      <c r="AM3" s="155"/>
      <c r="AN3" s="155"/>
      <c r="AO3" s="155"/>
      <c r="AP3" s="155"/>
      <c r="AQ3" s="155"/>
      <c r="AR3" s="155"/>
      <c r="AS3" s="153"/>
      <c r="AT3" s="153"/>
      <c r="AU3" s="153"/>
      <c r="AV3" s="153"/>
      <c r="AW3" s="153"/>
      <c r="AX3" s="153"/>
      <c r="AY3" s="153"/>
      <c r="AZ3" s="153"/>
      <c r="BA3" s="153"/>
      <c r="BB3" s="153"/>
    </row>
    <row r="4" spans="1:63" s="832" customFormat="1" ht="49.5" customHeight="1">
      <c r="A4" s="145"/>
      <c r="B4" s="401"/>
      <c r="C4" s="393"/>
      <c r="D4" s="153"/>
      <c r="E4" s="153"/>
      <c r="F4" s="153"/>
      <c r="G4" s="153"/>
      <c r="H4" s="153"/>
      <c r="I4" s="153"/>
      <c r="J4" s="153"/>
      <c r="K4" s="153"/>
      <c r="L4" s="153"/>
      <c r="M4" s="153"/>
      <c r="N4" s="154"/>
      <c r="O4" s="153"/>
      <c r="P4" s="153"/>
      <c r="Q4" s="153"/>
      <c r="R4" s="155"/>
      <c r="S4" s="155"/>
      <c r="T4" s="155"/>
      <c r="U4" s="155"/>
      <c r="V4" s="155"/>
      <c r="W4" s="155"/>
      <c r="X4" s="437"/>
      <c r="Y4" s="437"/>
      <c r="Z4" s="437"/>
      <c r="AA4" s="437"/>
      <c r="AB4" s="437"/>
      <c r="AC4" s="156"/>
      <c r="AD4" s="156"/>
      <c r="AE4" s="156"/>
      <c r="AF4" s="156"/>
      <c r="AG4" s="156"/>
      <c r="AH4" s="155"/>
      <c r="AI4" s="155"/>
      <c r="AJ4" s="155"/>
      <c r="AK4" s="155"/>
      <c r="AL4" s="157"/>
      <c r="AM4" s="155"/>
      <c r="AN4" s="155"/>
      <c r="AO4" s="155"/>
      <c r="AP4" s="155"/>
      <c r="AQ4" s="155"/>
      <c r="AR4" s="155"/>
      <c r="AS4" s="153"/>
      <c r="AT4" s="153"/>
      <c r="AU4" s="153"/>
      <c r="AV4" s="153"/>
      <c r="AW4" s="153"/>
      <c r="AX4" s="153"/>
      <c r="AY4" s="153"/>
      <c r="AZ4" s="153"/>
      <c r="BA4" s="153"/>
      <c r="BB4" s="153"/>
    </row>
    <row r="5" spans="1:63" s="831" customFormat="1" ht="51" customHeight="1" thickBot="1">
      <c r="A5" s="438" t="s">
        <v>198</v>
      </c>
      <c r="B5" s="439"/>
      <c r="C5" s="439"/>
      <c r="D5" s="439"/>
      <c r="E5" s="439"/>
      <c r="F5" s="439"/>
      <c r="G5" s="439"/>
      <c r="H5" s="439"/>
      <c r="I5" s="439"/>
      <c r="J5" s="439"/>
      <c r="K5" s="439"/>
      <c r="L5" s="439"/>
      <c r="M5" s="439"/>
      <c r="N5" s="439"/>
      <c r="O5" s="439"/>
      <c r="P5" s="439"/>
      <c r="Q5" s="439"/>
      <c r="R5" s="439"/>
      <c r="S5" s="439"/>
      <c r="T5" s="439"/>
      <c r="U5" s="439"/>
      <c r="V5" s="439"/>
      <c r="W5" s="439"/>
      <c r="X5" s="439"/>
      <c r="Y5" s="439"/>
      <c r="Z5" s="439"/>
      <c r="AA5" s="439"/>
      <c r="AB5" s="439"/>
      <c r="AC5" s="439"/>
      <c r="AD5" s="439"/>
      <c r="AE5" s="439"/>
      <c r="AF5" s="439"/>
      <c r="AG5" s="439"/>
      <c r="AH5" s="439"/>
      <c r="AI5" s="439"/>
      <c r="AJ5" s="439"/>
      <c r="AK5" s="439"/>
      <c r="AL5" s="439"/>
      <c r="AM5" s="439"/>
      <c r="AN5" s="439"/>
      <c r="AO5" s="439"/>
      <c r="AP5" s="439"/>
      <c r="AQ5" s="159"/>
      <c r="AR5" s="159"/>
      <c r="AS5" s="160"/>
      <c r="AT5" s="160"/>
      <c r="AU5" s="160"/>
      <c r="AV5" s="160"/>
      <c r="AW5" s="160"/>
      <c r="AX5" s="160"/>
      <c r="AY5" s="160"/>
      <c r="AZ5" s="160"/>
      <c r="BA5" s="160"/>
      <c r="BB5" s="160"/>
      <c r="BC5" s="833"/>
      <c r="BD5" s="833"/>
      <c r="BE5" s="833"/>
      <c r="BF5" s="833"/>
      <c r="BG5" s="833"/>
      <c r="BH5" s="833"/>
      <c r="BI5" s="833"/>
      <c r="BJ5" s="833"/>
      <c r="BK5" s="833"/>
    </row>
    <row r="6" spans="1:63" s="834" customFormat="1" ht="12.75" customHeight="1">
      <c r="A6" s="454" t="s">
        <v>167</v>
      </c>
      <c r="B6" s="446"/>
      <c r="C6" s="446"/>
      <c r="D6" s="446"/>
      <c r="E6" s="446"/>
      <c r="F6" s="446"/>
      <c r="G6" s="446"/>
      <c r="H6" s="446"/>
      <c r="I6" s="446"/>
      <c r="J6" s="446"/>
      <c r="K6" s="446"/>
      <c r="L6" s="446"/>
      <c r="M6" s="446"/>
      <c r="N6" s="446"/>
      <c r="O6" s="446"/>
      <c r="P6" s="446"/>
      <c r="Q6" s="447"/>
      <c r="R6" s="445" t="s">
        <v>168</v>
      </c>
      <c r="S6" s="446"/>
      <c r="T6" s="446"/>
      <c r="U6" s="446"/>
      <c r="V6" s="446"/>
      <c r="W6" s="447"/>
      <c r="X6" s="445" t="s">
        <v>3</v>
      </c>
      <c r="Y6" s="446"/>
      <c r="Z6" s="446"/>
      <c r="AA6" s="446"/>
      <c r="AB6" s="446"/>
      <c r="AC6" s="446"/>
      <c r="AD6" s="446"/>
      <c r="AE6" s="446"/>
      <c r="AF6" s="446"/>
      <c r="AG6" s="447"/>
      <c r="AH6" s="440" t="s">
        <v>169</v>
      </c>
      <c r="AI6" s="440"/>
      <c r="AJ6" s="440"/>
      <c r="AK6" s="440"/>
      <c r="AL6" s="440"/>
      <c r="AM6" s="440"/>
      <c r="AN6" s="440"/>
      <c r="AO6" s="440"/>
      <c r="AP6" s="441"/>
      <c r="AQ6" s="158"/>
      <c r="AR6" s="159"/>
      <c r="AS6" s="160"/>
      <c r="AT6" s="160"/>
      <c r="AU6" s="160"/>
      <c r="AV6" s="160"/>
      <c r="AW6" s="160"/>
      <c r="AX6" s="160"/>
      <c r="AY6" s="160"/>
      <c r="AZ6" s="160"/>
      <c r="BA6" s="160"/>
      <c r="BB6" s="160"/>
    </row>
    <row r="7" spans="1:63" ht="15.75" customHeight="1">
      <c r="A7" s="455"/>
      <c r="B7" s="449"/>
      <c r="C7" s="449"/>
      <c r="D7" s="449"/>
      <c r="E7" s="449"/>
      <c r="F7" s="449"/>
      <c r="G7" s="449"/>
      <c r="H7" s="449"/>
      <c r="I7" s="449"/>
      <c r="J7" s="449"/>
      <c r="K7" s="449"/>
      <c r="L7" s="449"/>
      <c r="M7" s="449"/>
      <c r="N7" s="449"/>
      <c r="O7" s="449"/>
      <c r="P7" s="449"/>
      <c r="Q7" s="450"/>
      <c r="R7" s="448"/>
      <c r="S7" s="449"/>
      <c r="T7" s="449"/>
      <c r="U7" s="449"/>
      <c r="V7" s="449"/>
      <c r="W7" s="450"/>
      <c r="X7" s="448"/>
      <c r="Y7" s="449"/>
      <c r="Z7" s="449"/>
      <c r="AA7" s="449"/>
      <c r="AB7" s="449"/>
      <c r="AC7" s="449"/>
      <c r="AD7" s="449"/>
      <c r="AE7" s="449"/>
      <c r="AF7" s="449"/>
      <c r="AG7" s="450"/>
      <c r="AH7" s="442"/>
      <c r="AI7" s="442"/>
      <c r="AJ7" s="442"/>
      <c r="AK7" s="442"/>
      <c r="AL7" s="442"/>
      <c r="AM7" s="442"/>
      <c r="AN7" s="442"/>
      <c r="AO7" s="442"/>
      <c r="AP7" s="443"/>
      <c r="AQ7" s="158"/>
    </row>
    <row r="8" spans="1:63" ht="29.25" customHeight="1">
      <c r="A8" s="456"/>
      <c r="B8" s="452"/>
      <c r="C8" s="452"/>
      <c r="D8" s="452"/>
      <c r="E8" s="452"/>
      <c r="F8" s="452"/>
      <c r="G8" s="452"/>
      <c r="H8" s="452"/>
      <c r="I8" s="452"/>
      <c r="J8" s="452"/>
      <c r="K8" s="452"/>
      <c r="L8" s="452"/>
      <c r="M8" s="452"/>
      <c r="N8" s="452"/>
      <c r="O8" s="452"/>
      <c r="P8" s="452"/>
      <c r="Q8" s="453"/>
      <c r="R8" s="451"/>
      <c r="S8" s="452"/>
      <c r="T8" s="452"/>
      <c r="U8" s="452"/>
      <c r="V8" s="452"/>
      <c r="W8" s="453"/>
      <c r="X8" s="451"/>
      <c r="Y8" s="452"/>
      <c r="Z8" s="452"/>
      <c r="AA8" s="452"/>
      <c r="AB8" s="452"/>
      <c r="AC8" s="452"/>
      <c r="AD8" s="452"/>
      <c r="AE8" s="452"/>
      <c r="AF8" s="452"/>
      <c r="AG8" s="453"/>
      <c r="AH8" s="442"/>
      <c r="AI8" s="442"/>
      <c r="AJ8" s="442"/>
      <c r="AK8" s="442"/>
      <c r="AL8" s="442"/>
      <c r="AM8" s="442"/>
      <c r="AN8" s="442"/>
      <c r="AO8" s="442"/>
      <c r="AP8" s="443"/>
    </row>
    <row r="9" spans="1:63" ht="51" customHeight="1">
      <c r="A9" s="429" t="s">
        <v>4</v>
      </c>
      <c r="B9" s="431" t="s">
        <v>5</v>
      </c>
      <c r="C9" s="457" t="s">
        <v>6</v>
      </c>
      <c r="D9" s="431" t="s">
        <v>7</v>
      </c>
      <c r="E9" s="429" t="s">
        <v>8</v>
      </c>
      <c r="F9" s="429" t="s">
        <v>9</v>
      </c>
      <c r="G9" s="429" t="s">
        <v>10</v>
      </c>
      <c r="H9" s="431" t="s">
        <v>158</v>
      </c>
      <c r="I9" s="431" t="s">
        <v>11</v>
      </c>
      <c r="J9" s="429" t="s">
        <v>12</v>
      </c>
      <c r="K9" s="429" t="s">
        <v>199</v>
      </c>
      <c r="L9" s="429" t="s">
        <v>13</v>
      </c>
      <c r="M9" s="429" t="s">
        <v>14</v>
      </c>
      <c r="N9" s="429"/>
      <c r="O9" s="429" t="s">
        <v>22</v>
      </c>
      <c r="P9" s="431" t="s">
        <v>23</v>
      </c>
      <c r="Q9" s="429" t="s">
        <v>24</v>
      </c>
      <c r="R9" s="430" t="s">
        <v>15</v>
      </c>
      <c r="S9" s="458" t="s">
        <v>17</v>
      </c>
      <c r="T9" s="430" t="s">
        <v>16</v>
      </c>
      <c r="U9" s="458" t="s">
        <v>17</v>
      </c>
      <c r="V9" s="460" t="s">
        <v>148</v>
      </c>
      <c r="W9" s="435" t="s">
        <v>18</v>
      </c>
      <c r="X9" s="429" t="s">
        <v>19</v>
      </c>
      <c r="Y9" s="459" t="s">
        <v>20</v>
      </c>
      <c r="Z9" s="459"/>
      <c r="AA9" s="459"/>
      <c r="AB9" s="459"/>
      <c r="AC9" s="459"/>
      <c r="AD9" s="459"/>
      <c r="AE9" s="459"/>
      <c r="AF9" s="459"/>
      <c r="AG9" s="459"/>
      <c r="AH9" s="430" t="s">
        <v>15</v>
      </c>
      <c r="AI9" s="430" t="s">
        <v>145</v>
      </c>
      <c r="AJ9" s="430" t="s">
        <v>142</v>
      </c>
      <c r="AK9" s="432" t="s">
        <v>149</v>
      </c>
      <c r="AL9" s="433" t="s">
        <v>146</v>
      </c>
      <c r="AM9" s="434" t="s">
        <v>165</v>
      </c>
      <c r="AN9" s="434" t="s">
        <v>147</v>
      </c>
      <c r="AO9" s="434" t="s">
        <v>165</v>
      </c>
      <c r="AP9" s="431" t="s">
        <v>150</v>
      </c>
      <c r="AQ9" s="436" t="s">
        <v>171</v>
      </c>
      <c r="AR9" s="436"/>
      <c r="AS9" s="436"/>
      <c r="AT9" s="436"/>
      <c r="AU9" s="436"/>
      <c r="AV9" s="436"/>
      <c r="AW9" s="436"/>
      <c r="AX9" s="436" t="s">
        <v>170</v>
      </c>
      <c r="AY9" s="436"/>
      <c r="AZ9" s="436"/>
      <c r="BA9" s="436"/>
      <c r="BB9" s="429" t="s">
        <v>41</v>
      </c>
    </row>
    <row r="10" spans="1:63" ht="63.75" customHeight="1">
      <c r="A10" s="429"/>
      <c r="B10" s="431"/>
      <c r="C10" s="457"/>
      <c r="D10" s="431"/>
      <c r="E10" s="429"/>
      <c r="F10" s="429"/>
      <c r="G10" s="429"/>
      <c r="H10" s="431"/>
      <c r="I10" s="431"/>
      <c r="J10" s="429"/>
      <c r="K10" s="429"/>
      <c r="L10" s="429"/>
      <c r="M10" s="151" t="s">
        <v>21</v>
      </c>
      <c r="N10" s="151" t="s">
        <v>200</v>
      </c>
      <c r="O10" s="429"/>
      <c r="P10" s="431"/>
      <c r="Q10" s="429"/>
      <c r="R10" s="430"/>
      <c r="S10" s="458" t="s">
        <v>17</v>
      </c>
      <c r="T10" s="430"/>
      <c r="U10" s="458"/>
      <c r="V10" s="460"/>
      <c r="W10" s="435"/>
      <c r="X10" s="429"/>
      <c r="Y10" s="161" t="s">
        <v>25</v>
      </c>
      <c r="Z10" s="162" t="s">
        <v>26</v>
      </c>
      <c r="AA10" s="161" t="s">
        <v>27</v>
      </c>
      <c r="AB10" s="151" t="s">
        <v>26</v>
      </c>
      <c r="AC10" s="151" t="s">
        <v>162</v>
      </c>
      <c r="AD10" s="151" t="s">
        <v>163</v>
      </c>
      <c r="AE10" s="161" t="s">
        <v>201</v>
      </c>
      <c r="AF10" s="161" t="s">
        <v>28</v>
      </c>
      <c r="AG10" s="161" t="s">
        <v>29</v>
      </c>
      <c r="AH10" s="430"/>
      <c r="AI10" s="430"/>
      <c r="AJ10" s="430"/>
      <c r="AK10" s="432"/>
      <c r="AL10" s="433"/>
      <c r="AM10" s="434"/>
      <c r="AN10" s="434"/>
      <c r="AO10" s="434"/>
      <c r="AP10" s="431"/>
      <c r="AQ10" s="429" t="s">
        <v>30</v>
      </c>
      <c r="AR10" s="429" t="s">
        <v>31</v>
      </c>
      <c r="AS10" s="429" t="s">
        <v>32</v>
      </c>
      <c r="AT10" s="429" t="s">
        <v>33</v>
      </c>
      <c r="AU10" s="161" t="s">
        <v>34</v>
      </c>
      <c r="AV10" s="429" t="s">
        <v>35</v>
      </c>
      <c r="AW10" s="429" t="s">
        <v>36</v>
      </c>
      <c r="AX10" s="429" t="s">
        <v>37</v>
      </c>
      <c r="AY10" s="151" t="s">
        <v>38</v>
      </c>
      <c r="AZ10" s="151" t="s">
        <v>39</v>
      </c>
      <c r="BA10" s="151" t="s">
        <v>40</v>
      </c>
      <c r="BB10" s="429"/>
      <c r="BF10" s="836"/>
    </row>
    <row r="11" spans="1:63" ht="0.75" customHeight="1">
      <c r="A11" s="152"/>
      <c r="B11" s="402"/>
      <c r="C11" s="394"/>
      <c r="D11" s="163"/>
      <c r="E11" s="163"/>
      <c r="F11" s="163"/>
      <c r="G11" s="163"/>
      <c r="H11" s="163"/>
      <c r="I11" s="163"/>
      <c r="J11" s="163"/>
      <c r="K11" s="163"/>
      <c r="L11" s="163"/>
      <c r="M11" s="163"/>
      <c r="N11" s="85"/>
      <c r="O11" s="164"/>
      <c r="P11" s="164"/>
      <c r="Q11" s="164"/>
      <c r="R11" s="165"/>
      <c r="S11" s="165"/>
      <c r="T11" s="166"/>
      <c r="U11" s="458"/>
      <c r="V11" s="166"/>
      <c r="W11" s="166"/>
      <c r="X11" s="90"/>
      <c r="Y11" s="2"/>
      <c r="Z11" s="167"/>
      <c r="AA11" s="167"/>
      <c r="AB11" s="167"/>
      <c r="AC11" s="167"/>
      <c r="AD11" s="167"/>
      <c r="AE11" s="167"/>
      <c r="AF11" s="167"/>
      <c r="AG11" s="167"/>
      <c r="AH11" s="168"/>
      <c r="AI11" s="168"/>
      <c r="AJ11" s="168"/>
      <c r="AK11" s="90"/>
      <c r="AL11" s="169"/>
      <c r="AM11" s="90"/>
      <c r="AN11" s="90"/>
      <c r="AO11" s="90"/>
      <c r="AP11" s="170"/>
      <c r="AQ11" s="429"/>
      <c r="AR11" s="429"/>
      <c r="AS11" s="429"/>
      <c r="AT11" s="429"/>
      <c r="AU11" s="161"/>
      <c r="AV11" s="429"/>
      <c r="AW11" s="429"/>
      <c r="AX11" s="429"/>
      <c r="AY11" s="151"/>
      <c r="AZ11" s="151"/>
      <c r="BA11" s="151"/>
      <c r="BB11" s="429"/>
      <c r="BF11" s="836"/>
    </row>
    <row r="12" spans="1:63" s="837" customFormat="1" ht="263" customHeight="1">
      <c r="A12" s="465" t="s">
        <v>424</v>
      </c>
      <c r="B12" s="424" t="s">
        <v>202</v>
      </c>
      <c r="C12" s="462" t="s">
        <v>189</v>
      </c>
      <c r="D12" s="424" t="s">
        <v>60</v>
      </c>
      <c r="E12" s="424" t="s">
        <v>60</v>
      </c>
      <c r="F12" s="424" t="s">
        <v>197</v>
      </c>
      <c r="G12" s="424" t="s">
        <v>174</v>
      </c>
      <c r="H12" s="424" t="s">
        <v>159</v>
      </c>
      <c r="I12" s="424" t="s">
        <v>180</v>
      </c>
      <c r="J12" s="461" t="s">
        <v>178</v>
      </c>
      <c r="K12" s="461" t="s">
        <v>178</v>
      </c>
      <c r="L12" s="461" t="s">
        <v>74</v>
      </c>
      <c r="M12" s="424" t="s">
        <v>175</v>
      </c>
      <c r="N12" s="463" t="s">
        <v>176</v>
      </c>
      <c r="O12" s="463" t="s">
        <v>177</v>
      </c>
      <c r="P12" s="463" t="s">
        <v>74</v>
      </c>
      <c r="Q12" s="463" t="s">
        <v>179</v>
      </c>
      <c r="R12" s="463" t="s">
        <v>42</v>
      </c>
      <c r="S12" s="424">
        <f>VLOOKUP(R12,Campos!$H$11:$Q$37,3,FALSE)</f>
        <v>52</v>
      </c>
      <c r="T12" s="464" t="s">
        <v>96</v>
      </c>
      <c r="U12" s="424">
        <f>VLOOKUP(Selección1,Campos!$K$11:$M$37,2,FALSE)</f>
        <v>3</v>
      </c>
      <c r="V12" s="424">
        <f>+S12+U12</f>
        <v>55</v>
      </c>
      <c r="W12" s="427" t="str">
        <f>+VLOOKUP(V12,Campos!$M$11:$N$37,2,FALSE)</f>
        <v>3 - Zona de riesgo Moderada</v>
      </c>
      <c r="X12" s="84" t="s">
        <v>437</v>
      </c>
      <c r="Y12" s="82" t="s">
        <v>118</v>
      </c>
      <c r="Z12" s="83">
        <f>VLOOKUP(Y12,Campos!$D$61:$E$63,2,FALSE)</f>
        <v>0.25</v>
      </c>
      <c r="AA12" s="83" t="s">
        <v>43</v>
      </c>
      <c r="AB12" s="83">
        <f>VLOOKUP(AA12,Campos!$D$66:$E$67,2,FALSE)</f>
        <v>0.15</v>
      </c>
      <c r="AC12" s="83">
        <f t="shared" ref="AC12:AC17" si="0">+Z12+AB12</f>
        <v>0.4</v>
      </c>
      <c r="AD12" s="149">
        <f>+IF(Y12="Correctivo",'Direccionamiento Estratégico'!AC12+0.1,'Direccionamiento Estratégico'!AC12*0)</f>
        <v>0</v>
      </c>
      <c r="AE12" s="84" t="s">
        <v>44</v>
      </c>
      <c r="AF12" s="84" t="s">
        <v>126</v>
      </c>
      <c r="AG12" s="83" t="s">
        <v>129</v>
      </c>
      <c r="AH12" s="466" t="s">
        <v>136</v>
      </c>
      <c r="AI12" s="180">
        <v>0.8</v>
      </c>
      <c r="AJ12" s="466" t="s">
        <v>96</v>
      </c>
      <c r="AK12" s="83">
        <f>+VLOOKUP(AJ12,Campos!$S$32:$T$39,2,FALSE)</f>
        <v>0.6</v>
      </c>
      <c r="AL12" s="181">
        <f>+AI12-(AI12*AC12)</f>
        <v>0.48</v>
      </c>
      <c r="AM12" s="83" t="str">
        <f>+VLOOKUP(AL12,Campos!$W$23:$X$122,2,TRUE)</f>
        <v>Media - 60%</v>
      </c>
      <c r="AN12" s="182">
        <f>+IF(Y12="Correctivo",AK12*AD12,AK12*1)</f>
        <v>0.6</v>
      </c>
      <c r="AO12" s="83" t="str">
        <f>+VLOOKUP(AN12,Campos!$W$22:$Y$122,3,TRUE)</f>
        <v>3 Moderado</v>
      </c>
      <c r="AP12" s="183" t="s">
        <v>97</v>
      </c>
      <c r="AQ12" s="175" t="str">
        <f>+VLOOKUP(AP12,Campos!K100:L106,2,FALSE)</f>
        <v>Reducir el riesgo</v>
      </c>
      <c r="AR12" s="83" t="s">
        <v>195</v>
      </c>
      <c r="AS12" s="83" t="s">
        <v>196</v>
      </c>
      <c r="AT12" s="82" t="s">
        <v>184</v>
      </c>
      <c r="AU12" s="82" t="s">
        <v>157</v>
      </c>
      <c r="AV12" s="83" t="s">
        <v>186</v>
      </c>
      <c r="AW12" s="83" t="s">
        <v>187</v>
      </c>
      <c r="AX12" s="424" t="s">
        <v>203</v>
      </c>
      <c r="AY12" s="424" t="s">
        <v>190</v>
      </c>
      <c r="AZ12" s="461" t="s">
        <v>189</v>
      </c>
      <c r="BA12" s="461" t="s">
        <v>188</v>
      </c>
      <c r="BB12" s="461" t="s">
        <v>178</v>
      </c>
      <c r="BF12" s="838"/>
    </row>
    <row r="13" spans="1:63" s="837" customFormat="1" ht="226.5" customHeight="1">
      <c r="A13" s="465"/>
      <c r="B13" s="424"/>
      <c r="C13" s="462"/>
      <c r="D13" s="424"/>
      <c r="E13" s="424"/>
      <c r="F13" s="424"/>
      <c r="G13" s="424"/>
      <c r="H13" s="424"/>
      <c r="I13" s="424"/>
      <c r="J13" s="461"/>
      <c r="K13" s="461"/>
      <c r="L13" s="461"/>
      <c r="M13" s="424"/>
      <c r="N13" s="463"/>
      <c r="O13" s="463"/>
      <c r="P13" s="463"/>
      <c r="Q13" s="463"/>
      <c r="R13" s="463"/>
      <c r="S13" s="424"/>
      <c r="T13" s="464"/>
      <c r="U13" s="424"/>
      <c r="V13" s="424"/>
      <c r="W13" s="427"/>
      <c r="X13" s="84" t="s">
        <v>438</v>
      </c>
      <c r="Y13" s="82" t="s">
        <v>118</v>
      </c>
      <c r="Z13" s="83">
        <f>VLOOKUP(Y13,Campos!$D$61:$E$63,2,FALSE)</f>
        <v>0.25</v>
      </c>
      <c r="AA13" s="83" t="s">
        <v>43</v>
      </c>
      <c r="AB13" s="83">
        <f>VLOOKUP(AA13,Campos!$D$66:$E$67,2,FALSE)</f>
        <v>0.15</v>
      </c>
      <c r="AC13" s="83">
        <f t="shared" si="0"/>
        <v>0.4</v>
      </c>
      <c r="AD13" s="149">
        <f>+IF(Y13="Correctivo",'Direccionamiento Estratégico'!AC13+0.1,'Direccionamiento Estratégico'!AC13*0)</f>
        <v>0</v>
      </c>
      <c r="AE13" s="84" t="s">
        <v>44</v>
      </c>
      <c r="AF13" s="84" t="s">
        <v>126</v>
      </c>
      <c r="AG13" s="83" t="s">
        <v>129</v>
      </c>
      <c r="AH13" s="466"/>
      <c r="AI13" s="180">
        <v>0.68</v>
      </c>
      <c r="AJ13" s="466"/>
      <c r="AK13" s="83" t="e">
        <f>+VLOOKUP(AJ13,Campos!$S$32:$T$39,2,FALSE)</f>
        <v>#N/A</v>
      </c>
      <c r="AL13" s="181">
        <f>+Campos!K112</f>
        <v>0.28799999999999998</v>
      </c>
      <c r="AM13" s="83" t="str">
        <f>+VLOOKUP(AL13,Campos!$W$23:$X$122,2,TRUE)</f>
        <v>Baja - 40%</v>
      </c>
      <c r="AN13" s="182">
        <f>+Campos!L112</f>
        <v>0.6</v>
      </c>
      <c r="AO13" s="83" t="str">
        <f>+VLOOKUP(AN13,Campos!$W$22:$Y$122,3,TRUE)</f>
        <v>3 Moderado</v>
      </c>
      <c r="AP13" s="183" t="s">
        <v>97</v>
      </c>
      <c r="AQ13" s="175" t="str">
        <f>+VLOOKUP(AP13,Campos!K101:L107,2,FALSE)</f>
        <v>Reducir el riesgo</v>
      </c>
      <c r="AR13" s="83" t="s">
        <v>191</v>
      </c>
      <c r="AS13" s="83" t="s">
        <v>192</v>
      </c>
      <c r="AT13" s="82" t="s">
        <v>185</v>
      </c>
      <c r="AU13" s="82" t="s">
        <v>157</v>
      </c>
      <c r="AV13" s="83" t="s">
        <v>193</v>
      </c>
      <c r="AW13" s="83" t="s">
        <v>194</v>
      </c>
      <c r="AX13" s="424"/>
      <c r="AY13" s="424"/>
      <c r="AZ13" s="461"/>
      <c r="BA13" s="461"/>
      <c r="BB13" s="461"/>
      <c r="BF13" s="838"/>
    </row>
    <row r="14" spans="1:63" s="837" customFormat="1" ht="246" customHeight="1">
      <c r="A14" s="465"/>
      <c r="B14" s="424"/>
      <c r="C14" s="462"/>
      <c r="D14" s="424"/>
      <c r="E14" s="424"/>
      <c r="F14" s="424"/>
      <c r="G14" s="424"/>
      <c r="H14" s="424"/>
      <c r="I14" s="424"/>
      <c r="J14" s="461"/>
      <c r="K14" s="461"/>
      <c r="L14" s="461"/>
      <c r="M14" s="424"/>
      <c r="N14" s="463"/>
      <c r="O14" s="463"/>
      <c r="P14" s="463"/>
      <c r="Q14" s="463"/>
      <c r="R14" s="463"/>
      <c r="S14" s="424"/>
      <c r="T14" s="464"/>
      <c r="U14" s="424"/>
      <c r="V14" s="424"/>
      <c r="W14" s="427"/>
      <c r="X14" s="84" t="s">
        <v>439</v>
      </c>
      <c r="Y14" s="82" t="s">
        <v>118</v>
      </c>
      <c r="Z14" s="83">
        <f>VLOOKUP(Y14,Campos!$D$61:$E$63,2,FALSE)</f>
        <v>0.25</v>
      </c>
      <c r="AA14" s="83" t="s">
        <v>43</v>
      </c>
      <c r="AB14" s="83">
        <f>VLOOKUP(AA14,Campos!$D$66:$E$67,2,FALSE)</f>
        <v>0.15</v>
      </c>
      <c r="AC14" s="83">
        <f t="shared" si="0"/>
        <v>0.4</v>
      </c>
      <c r="AD14" s="149">
        <f>+IF(Y14="Correctivo",'Direccionamiento Estratégico'!AC14+0.1,'Direccionamiento Estratégico'!AC14*0)</f>
        <v>0</v>
      </c>
      <c r="AE14" s="84" t="s">
        <v>44</v>
      </c>
      <c r="AF14" s="84" t="s">
        <v>126</v>
      </c>
      <c r="AG14" s="83" t="s">
        <v>129</v>
      </c>
      <c r="AH14" s="466"/>
      <c r="AI14" s="180">
        <v>0.57999999999999996</v>
      </c>
      <c r="AJ14" s="466"/>
      <c r="AK14" s="83" t="e">
        <f>+VLOOKUP(AJ14,Campos!$S$32:$T$39,2,FALSE)</f>
        <v>#N/A</v>
      </c>
      <c r="AL14" s="181">
        <f>+Campos!K113</f>
        <v>0.17279999999999998</v>
      </c>
      <c r="AM14" s="83" t="str">
        <f>+VLOOKUP(AL14,Campos!$W$23:$X$122,2,TRUE)</f>
        <v>Muy Baja - 20%</v>
      </c>
      <c r="AN14" s="182">
        <f>+Campos!L113</f>
        <v>0.6</v>
      </c>
      <c r="AO14" s="83" t="str">
        <f>+VLOOKUP(AN14,Campos!$W$22:$Y$122,3,TRUE)</f>
        <v>3 Moderado</v>
      </c>
      <c r="AP14" s="183" t="s">
        <v>97</v>
      </c>
      <c r="AQ14" s="175" t="str">
        <f>+VLOOKUP(AP14,Campos!K102:L108,2,FALSE)</f>
        <v>Reducir el riesgo</v>
      </c>
      <c r="AR14" s="83" t="s">
        <v>182</v>
      </c>
      <c r="AS14" s="83" t="s">
        <v>183</v>
      </c>
      <c r="AT14" s="82" t="s">
        <v>184</v>
      </c>
      <c r="AU14" s="82" t="s">
        <v>157</v>
      </c>
      <c r="AV14" s="83" t="s">
        <v>186</v>
      </c>
      <c r="AW14" s="83" t="s">
        <v>187</v>
      </c>
      <c r="AX14" s="424"/>
      <c r="AY14" s="424"/>
      <c r="AZ14" s="461"/>
      <c r="BA14" s="461"/>
      <c r="BB14" s="461"/>
      <c r="BF14" s="838"/>
    </row>
    <row r="15" spans="1:63" s="837" customFormat="1" ht="238" customHeight="1">
      <c r="A15" s="465" t="s">
        <v>425</v>
      </c>
      <c r="B15" s="424" t="s">
        <v>202</v>
      </c>
      <c r="C15" s="462" t="s">
        <v>204</v>
      </c>
      <c r="D15" s="424" t="s">
        <v>63</v>
      </c>
      <c r="E15" s="424" t="s">
        <v>63</v>
      </c>
      <c r="F15" s="424" t="s">
        <v>322</v>
      </c>
      <c r="G15" s="424" t="s">
        <v>323</v>
      </c>
      <c r="H15" s="424" t="s">
        <v>159</v>
      </c>
      <c r="I15" s="424" t="s">
        <v>205</v>
      </c>
      <c r="J15" s="461" t="s">
        <v>178</v>
      </c>
      <c r="K15" s="461" t="s">
        <v>178</v>
      </c>
      <c r="L15" s="461" t="s">
        <v>74</v>
      </c>
      <c r="M15" s="424" t="s">
        <v>324</v>
      </c>
      <c r="N15" s="84" t="s">
        <v>295</v>
      </c>
      <c r="O15" s="463" t="s">
        <v>177</v>
      </c>
      <c r="P15" s="84" t="s">
        <v>74</v>
      </c>
      <c r="Q15" s="84" t="s">
        <v>74</v>
      </c>
      <c r="R15" s="463" t="s">
        <v>90</v>
      </c>
      <c r="S15" s="424">
        <f>VLOOKUP(R15,[2]Campos!$H$11:$Q$37,3,FALSE)</f>
        <v>30</v>
      </c>
      <c r="T15" s="464" t="s">
        <v>91</v>
      </c>
      <c r="U15" s="424">
        <f>VLOOKUP(Selección1,[2]Campos!$K$11:$M$37,2,FALSE)</f>
        <v>3</v>
      </c>
      <c r="V15" s="424">
        <f>+S15+U15</f>
        <v>33</v>
      </c>
      <c r="W15" s="427" t="str">
        <f>+VLOOKUP(V15,[2]Campos!$M$11:$N$37,2,FALSE)</f>
        <v>3 - Zona de riesgo Moderada</v>
      </c>
      <c r="X15" s="84" t="s">
        <v>296</v>
      </c>
      <c r="Y15" s="82" t="s">
        <v>118</v>
      </c>
      <c r="Z15" s="83">
        <v>0.25</v>
      </c>
      <c r="AA15" s="83" t="s">
        <v>43</v>
      </c>
      <c r="AB15" s="83">
        <f>VLOOKUP(AA15,[2]Campos!$D$66:$E$67,2,FALSE)</f>
        <v>0.15</v>
      </c>
      <c r="AC15" s="83">
        <f t="shared" si="0"/>
        <v>0.4</v>
      </c>
      <c r="AD15" s="83" t="e">
        <f>+IF(Y15="Correctivo",'[2]Gestión y Seguridad Digital'!AC15+0.1,'[2]Gestión y Seguridad Digital'!AC15*0)</f>
        <v>#N/A</v>
      </c>
      <c r="AE15" s="84" t="s">
        <v>44</v>
      </c>
      <c r="AF15" s="84" t="s">
        <v>126</v>
      </c>
      <c r="AG15" s="83" t="s">
        <v>129</v>
      </c>
      <c r="AH15" s="179" t="s">
        <v>134</v>
      </c>
      <c r="AI15" s="184">
        <v>0.2</v>
      </c>
      <c r="AJ15" s="179" t="s">
        <v>91</v>
      </c>
      <c r="AK15" s="83">
        <f>+VLOOKUP(AJ15,[2]Campos!$S$32:$T$39,2,FALSE)</f>
        <v>0.2</v>
      </c>
      <c r="AL15" s="181">
        <f>+AI15-(AI15*AC15)</f>
        <v>0.12</v>
      </c>
      <c r="AM15" s="83" t="str">
        <f>+VLOOKUP(AL15,[2]Campos!$W$23:$X$122,2,TRUE)</f>
        <v>Muy Baja - 20%</v>
      </c>
      <c r="AN15" s="182">
        <f>+IF(Y15="Correctivo",AK15*AD15,AK15*1)</f>
        <v>0.2</v>
      </c>
      <c r="AO15" s="83" t="str">
        <f>+VLOOKUP(AN15,[2]Campos!$W$22:$Y$122,3,TRUE)</f>
        <v>1 Leve</v>
      </c>
      <c r="AP15" s="183" t="s">
        <v>92</v>
      </c>
      <c r="AQ15" s="176" t="s">
        <v>93</v>
      </c>
      <c r="AR15" s="83" t="s">
        <v>206</v>
      </c>
      <c r="AS15" s="83" t="s">
        <v>297</v>
      </c>
      <c r="AT15" s="83" t="s">
        <v>207</v>
      </c>
      <c r="AU15" s="82" t="s">
        <v>157</v>
      </c>
      <c r="AV15" s="93" t="s">
        <v>208</v>
      </c>
      <c r="AW15" s="93" t="s">
        <v>208</v>
      </c>
      <c r="AX15" s="424" t="s">
        <v>298</v>
      </c>
      <c r="AY15" s="424" t="s">
        <v>209</v>
      </c>
      <c r="AZ15" s="461" t="s">
        <v>247</v>
      </c>
      <c r="BA15" s="461" t="s">
        <v>48</v>
      </c>
      <c r="BB15" s="424" t="s">
        <v>299</v>
      </c>
      <c r="BF15" s="838"/>
    </row>
    <row r="16" spans="1:63" s="837" customFormat="1" ht="163.5" customHeight="1">
      <c r="A16" s="465"/>
      <c r="B16" s="424"/>
      <c r="C16" s="462"/>
      <c r="D16" s="424"/>
      <c r="E16" s="424"/>
      <c r="F16" s="424"/>
      <c r="G16" s="424"/>
      <c r="H16" s="424"/>
      <c r="I16" s="424"/>
      <c r="J16" s="461"/>
      <c r="K16" s="461"/>
      <c r="L16" s="461"/>
      <c r="M16" s="424"/>
      <c r="N16" s="84" t="s">
        <v>440</v>
      </c>
      <c r="O16" s="463"/>
      <c r="P16" s="84" t="s">
        <v>74</v>
      </c>
      <c r="Q16" s="84" t="s">
        <v>74</v>
      </c>
      <c r="R16" s="463"/>
      <c r="S16" s="424"/>
      <c r="T16" s="464"/>
      <c r="U16" s="424"/>
      <c r="V16" s="424"/>
      <c r="W16" s="427"/>
      <c r="X16" s="84" t="s">
        <v>300</v>
      </c>
      <c r="Y16" s="82" t="s">
        <v>118</v>
      </c>
      <c r="Z16" s="83">
        <v>0.25</v>
      </c>
      <c r="AA16" s="83" t="s">
        <v>43</v>
      </c>
      <c r="AB16" s="83">
        <f>VLOOKUP(AA16,[2]Campos!$D$66:$E$67,2,FALSE)</f>
        <v>0.15</v>
      </c>
      <c r="AC16" s="83">
        <f t="shared" si="0"/>
        <v>0.4</v>
      </c>
      <c r="AD16" s="83" t="e">
        <f>+IF(Y16="Correctivo",'[2]Gestión y Seguridad Digital'!AC16+0.1,'[2]Gestión y Seguridad Digital'!AC16*0)</f>
        <v>#N/A</v>
      </c>
      <c r="AE16" s="84" t="s">
        <v>44</v>
      </c>
      <c r="AF16" s="84" t="s">
        <v>126</v>
      </c>
      <c r="AG16" s="83" t="s">
        <v>129</v>
      </c>
      <c r="AH16" s="179" t="s">
        <v>134</v>
      </c>
      <c r="AI16" s="179"/>
      <c r="AJ16" s="179" t="s">
        <v>91</v>
      </c>
      <c r="AK16" s="83">
        <f>+VLOOKUP(AJ16,[2]Campos!$S$32:$T$39,2,FALSE)</f>
        <v>0.2</v>
      </c>
      <c r="AL16" s="185">
        <v>7.1999999999999995E-2</v>
      </c>
      <c r="AM16" s="186" t="s">
        <v>134</v>
      </c>
      <c r="AN16" s="187">
        <v>0.2</v>
      </c>
      <c r="AO16" s="186" t="s">
        <v>91</v>
      </c>
      <c r="AP16" s="183" t="s">
        <v>92</v>
      </c>
      <c r="AQ16" s="176" t="s">
        <v>93</v>
      </c>
      <c r="AR16" s="83" t="s">
        <v>301</v>
      </c>
      <c r="AS16" s="83" t="s">
        <v>302</v>
      </c>
      <c r="AT16" s="83" t="s">
        <v>207</v>
      </c>
      <c r="AU16" s="82" t="s">
        <v>157</v>
      </c>
      <c r="AV16" s="93" t="s">
        <v>208</v>
      </c>
      <c r="AW16" s="93" t="s">
        <v>208</v>
      </c>
      <c r="AX16" s="424"/>
      <c r="AY16" s="424"/>
      <c r="AZ16" s="461"/>
      <c r="BA16" s="461"/>
      <c r="BB16" s="424"/>
      <c r="BF16" s="838"/>
    </row>
    <row r="17" spans="1:60" s="837" customFormat="1" ht="217">
      <c r="A17" s="147" t="s">
        <v>426</v>
      </c>
      <c r="B17" s="366" t="s">
        <v>202</v>
      </c>
      <c r="C17" s="395" t="s">
        <v>204</v>
      </c>
      <c r="D17" s="83" t="s">
        <v>63</v>
      </c>
      <c r="E17" s="83" t="s">
        <v>63</v>
      </c>
      <c r="F17" s="83" t="s">
        <v>303</v>
      </c>
      <c r="G17" s="83" t="s">
        <v>304</v>
      </c>
      <c r="H17" s="83" t="s">
        <v>159</v>
      </c>
      <c r="I17" s="83" t="s">
        <v>205</v>
      </c>
      <c r="J17" s="461"/>
      <c r="K17" s="461"/>
      <c r="L17" s="461"/>
      <c r="M17" s="83" t="s">
        <v>210</v>
      </c>
      <c r="N17" s="84" t="s">
        <v>211</v>
      </c>
      <c r="O17" s="84" t="s">
        <v>177</v>
      </c>
      <c r="P17" s="84" t="s">
        <v>74</v>
      </c>
      <c r="Q17" s="84" t="s">
        <v>74</v>
      </c>
      <c r="R17" s="84" t="s">
        <v>90</v>
      </c>
      <c r="S17" s="83">
        <f>VLOOKUP(R17,[2]Campos!$H$11:$Q$37,3,FALSE)</f>
        <v>30</v>
      </c>
      <c r="T17" s="178" t="s">
        <v>91</v>
      </c>
      <c r="U17" s="83">
        <f>VLOOKUP(Selección1,[2]Campos!$K$11:$M$37,2,FALSE)</f>
        <v>3</v>
      </c>
      <c r="V17" s="83">
        <f t="shared" ref="V17" si="1">+S17+U17</f>
        <v>33</v>
      </c>
      <c r="W17" s="150" t="str">
        <f>+VLOOKUP(V17,[2]Campos!$M$11:$N$37,2,FALSE)</f>
        <v>3 - Zona de riesgo Moderada</v>
      </c>
      <c r="X17" s="84" t="s">
        <v>305</v>
      </c>
      <c r="Y17" s="82" t="s">
        <v>118</v>
      </c>
      <c r="Z17" s="83">
        <v>0.25</v>
      </c>
      <c r="AA17" s="83" t="s">
        <v>43</v>
      </c>
      <c r="AB17" s="83">
        <f>VLOOKUP(AA17,[2]Campos!$D$66:$E$67,2,FALSE)</f>
        <v>0.15</v>
      </c>
      <c r="AC17" s="83">
        <f t="shared" si="0"/>
        <v>0.4</v>
      </c>
      <c r="AD17" s="83" t="e">
        <f>+IF(Y17="Correctivo",'[2]Gestión y Seguridad Digital'!AC17+0.1,'[2]Gestión y Seguridad Digital'!AC17*0)</f>
        <v>#N/A</v>
      </c>
      <c r="AE17" s="84" t="s">
        <v>44</v>
      </c>
      <c r="AF17" s="84" t="s">
        <v>126</v>
      </c>
      <c r="AG17" s="83" t="s">
        <v>129</v>
      </c>
      <c r="AH17" s="179" t="s">
        <v>134</v>
      </c>
      <c r="AI17" s="184">
        <v>0.2</v>
      </c>
      <c r="AJ17" s="179" t="s">
        <v>91</v>
      </c>
      <c r="AK17" s="83">
        <f>+VLOOKUP(AJ17,[2]Campos!$S$32:$T$39,2,FALSE)</f>
        <v>0.2</v>
      </c>
      <c r="AL17" s="181">
        <f>+AI17-(AI17*AC17)</f>
        <v>0.12</v>
      </c>
      <c r="AM17" s="83" t="str">
        <f>+VLOOKUP(AL17,[2]Campos!$W$23:$X$122,2,TRUE)</f>
        <v>Muy Baja - 20%</v>
      </c>
      <c r="AN17" s="182">
        <v>0.2</v>
      </c>
      <c r="AO17" s="186" t="s">
        <v>91</v>
      </c>
      <c r="AP17" s="183" t="s">
        <v>92</v>
      </c>
      <c r="AQ17" s="176" t="s">
        <v>93</v>
      </c>
      <c r="AR17" s="83" t="s">
        <v>306</v>
      </c>
      <c r="AS17" s="83" t="s">
        <v>307</v>
      </c>
      <c r="AT17" s="82" t="s">
        <v>212</v>
      </c>
      <c r="AU17" s="82" t="s">
        <v>157</v>
      </c>
      <c r="AV17" s="93" t="s">
        <v>208</v>
      </c>
      <c r="AW17" s="93" t="s">
        <v>208</v>
      </c>
      <c r="AX17" s="83" t="s">
        <v>308</v>
      </c>
      <c r="AY17" s="83" t="s">
        <v>309</v>
      </c>
      <c r="AZ17" s="82" t="s">
        <v>247</v>
      </c>
      <c r="BA17" s="82" t="s">
        <v>48</v>
      </c>
      <c r="BB17" s="407" t="s">
        <v>213</v>
      </c>
      <c r="BF17" s="838"/>
    </row>
    <row r="18" spans="1:60" ht="148.5" customHeight="1">
      <c r="A18" s="465" t="s">
        <v>427</v>
      </c>
      <c r="B18" s="424" t="s">
        <v>202</v>
      </c>
      <c r="C18" s="462" t="s">
        <v>214</v>
      </c>
      <c r="D18" s="424" t="s">
        <v>60</v>
      </c>
      <c r="E18" s="424" t="s">
        <v>60</v>
      </c>
      <c r="F18" s="467" t="s">
        <v>215</v>
      </c>
      <c r="G18" s="468" t="s">
        <v>216</v>
      </c>
      <c r="H18" s="424" t="s">
        <v>159</v>
      </c>
      <c r="I18" s="424" t="s">
        <v>205</v>
      </c>
      <c r="J18" s="461" t="s">
        <v>178</v>
      </c>
      <c r="K18" s="461" t="s">
        <v>178</v>
      </c>
      <c r="L18" s="461" t="s">
        <v>74</v>
      </c>
      <c r="M18" s="424" t="s">
        <v>217</v>
      </c>
      <c r="N18" s="463" t="s">
        <v>218</v>
      </c>
      <c r="O18" s="463" t="s">
        <v>177</v>
      </c>
      <c r="P18" s="463" t="s">
        <v>74</v>
      </c>
      <c r="Q18" s="463" t="s">
        <v>219</v>
      </c>
      <c r="R18" s="463" t="s">
        <v>108</v>
      </c>
      <c r="S18" s="424">
        <f>VLOOKUP(R18,[3]Campos!$H$11:$Q$37,3,FALSE)</f>
        <v>63</v>
      </c>
      <c r="T18" s="464" t="s">
        <v>96</v>
      </c>
      <c r="U18" s="424">
        <f>VLOOKUP(Selección1,[3]Campos!$K$11:$M$37,2,FALSE)</f>
        <v>3</v>
      </c>
      <c r="V18" s="424">
        <f>+S18+U18</f>
        <v>66</v>
      </c>
      <c r="W18" s="427" t="str">
        <f>+VLOOKUP(V18,[3]Campos!$M$11:$N$37,2,FALSE)</f>
        <v>3 - Zona de riesgo Alta</v>
      </c>
      <c r="X18" s="108" t="s">
        <v>220</v>
      </c>
      <c r="Y18" s="82" t="s">
        <v>118</v>
      </c>
      <c r="Z18" s="83">
        <v>0.25</v>
      </c>
      <c r="AA18" s="83" t="s">
        <v>43</v>
      </c>
      <c r="AB18" s="83">
        <f>VLOOKUP(AA18,[3]Campos!$D$66:$E$67,2,FALSE)</f>
        <v>0.15</v>
      </c>
      <c r="AC18" s="83">
        <f>+Z18+AB18</f>
        <v>0.4</v>
      </c>
      <c r="AD18" s="83">
        <f>+IF(Y18="Correctivo",'[3]Gestión y Seguridad Digital'!AC18+0.1,'[3]Gestión y Seguridad Digital'!AC18*0)</f>
        <v>0</v>
      </c>
      <c r="AE18" s="84" t="s">
        <v>44</v>
      </c>
      <c r="AF18" s="84" t="s">
        <v>45</v>
      </c>
      <c r="AG18" s="83" t="s">
        <v>129</v>
      </c>
      <c r="AH18" s="179" t="s">
        <v>135</v>
      </c>
      <c r="AI18" s="184">
        <v>0.8</v>
      </c>
      <c r="AJ18" s="179" t="s">
        <v>99</v>
      </c>
      <c r="AK18" s="83">
        <f>+VLOOKUP(AJ18,[3]Campos!$S$32:$T$39,2,FALSE)</f>
        <v>0.8</v>
      </c>
      <c r="AL18" s="181">
        <f>+AI18-(AI18*AC18)</f>
        <v>0.48</v>
      </c>
      <c r="AM18" s="83" t="str">
        <f>+VLOOKUP(AL18,[3]Campos!$W$23:$X$122,2,TRUE)</f>
        <v>Media - 60%</v>
      </c>
      <c r="AN18" s="182">
        <f>+IF(Y18="Correctivo",AK18*AD18,AK18*1)</f>
        <v>0.8</v>
      </c>
      <c r="AO18" s="83" t="str">
        <f>+VLOOKUP(AN18,[3]Campos!$W$22:$Y$122,3,TRUE)</f>
        <v>4 Mayor</v>
      </c>
      <c r="AP18" s="469" t="s">
        <v>100</v>
      </c>
      <c r="AQ18" s="470" t="s">
        <v>98</v>
      </c>
      <c r="AR18" s="471" t="s">
        <v>221</v>
      </c>
      <c r="AS18" s="424" t="s">
        <v>222</v>
      </c>
      <c r="AT18" s="461" t="s">
        <v>214</v>
      </c>
      <c r="AU18" s="461" t="s">
        <v>157</v>
      </c>
      <c r="AV18" s="472" t="s">
        <v>223</v>
      </c>
      <c r="AW18" s="472" t="s">
        <v>224</v>
      </c>
      <c r="AX18" s="424" t="s">
        <v>225</v>
      </c>
      <c r="AY18" s="424" t="s">
        <v>226</v>
      </c>
      <c r="AZ18" s="424" t="s">
        <v>227</v>
      </c>
      <c r="BA18" s="461" t="s">
        <v>228</v>
      </c>
      <c r="BB18" s="424" t="s">
        <v>229</v>
      </c>
    </row>
    <row r="19" spans="1:60" s="831" customFormat="1" ht="297" customHeight="1">
      <c r="A19" s="465"/>
      <c r="B19" s="424"/>
      <c r="C19" s="462"/>
      <c r="D19" s="424"/>
      <c r="E19" s="424"/>
      <c r="F19" s="467"/>
      <c r="G19" s="468"/>
      <c r="H19" s="424"/>
      <c r="I19" s="424"/>
      <c r="J19" s="461"/>
      <c r="K19" s="461"/>
      <c r="L19" s="461"/>
      <c r="M19" s="424"/>
      <c r="N19" s="463"/>
      <c r="O19" s="463"/>
      <c r="P19" s="463"/>
      <c r="Q19" s="463"/>
      <c r="R19" s="463"/>
      <c r="S19" s="424"/>
      <c r="T19" s="464"/>
      <c r="U19" s="424"/>
      <c r="V19" s="424"/>
      <c r="W19" s="427"/>
      <c r="X19" s="189" t="s">
        <v>230</v>
      </c>
      <c r="Y19" s="82" t="s">
        <v>118</v>
      </c>
      <c r="Z19" s="83">
        <v>0.25</v>
      </c>
      <c r="AA19" s="83" t="s">
        <v>43</v>
      </c>
      <c r="AB19" s="83">
        <f>VLOOKUP(AA19,[3]Campos!$D$66:$E$67,2,FALSE)</f>
        <v>0.15</v>
      </c>
      <c r="AC19" s="83">
        <f>+Z19+AB19</f>
        <v>0.4</v>
      </c>
      <c r="AD19" s="83">
        <f>+IF(Y19="Correctivo",'[3]Gestión y Seguridad Digital'!AC19+0.1,'[3]Gestión y Seguridad Digital'!AC19*0)</f>
        <v>0</v>
      </c>
      <c r="AE19" s="84" t="s">
        <v>123</v>
      </c>
      <c r="AF19" s="84" t="s">
        <v>45</v>
      </c>
      <c r="AG19" s="83" t="s">
        <v>129</v>
      </c>
      <c r="AH19" s="179" t="s">
        <v>135</v>
      </c>
      <c r="AI19" s="184">
        <v>0.48</v>
      </c>
      <c r="AJ19" s="179" t="s">
        <v>99</v>
      </c>
      <c r="AK19" s="83">
        <f>+VLOOKUP(AJ19,[3]Campos!$S$32:$T$39,2,FALSE)</f>
        <v>0.8</v>
      </c>
      <c r="AL19" s="181">
        <v>0.28799999999999998</v>
      </c>
      <c r="AM19" s="83" t="s">
        <v>135</v>
      </c>
      <c r="AN19" s="182">
        <f>+[3]Campos!L118</f>
        <v>0</v>
      </c>
      <c r="AO19" s="83" t="e">
        <f>+VLOOKUP(AN19,[3]Campos!$W$22:$Y$122,3,TRUE)</f>
        <v>#N/A</v>
      </c>
      <c r="AP19" s="469"/>
      <c r="AQ19" s="470"/>
      <c r="AR19" s="471"/>
      <c r="AS19" s="424"/>
      <c r="AT19" s="461"/>
      <c r="AU19" s="461"/>
      <c r="AV19" s="473"/>
      <c r="AW19" s="473"/>
      <c r="AX19" s="424"/>
      <c r="AY19" s="424"/>
      <c r="AZ19" s="424"/>
      <c r="BA19" s="461"/>
      <c r="BB19" s="424"/>
      <c r="BC19" s="833"/>
      <c r="BD19" s="833"/>
      <c r="BE19" s="833"/>
      <c r="BF19" s="833"/>
      <c r="BG19" s="833"/>
      <c r="BH19" s="833"/>
    </row>
    <row r="20" spans="1:60" ht="177" customHeight="1">
      <c r="A20" s="465" t="s">
        <v>428</v>
      </c>
      <c r="B20" s="424" t="s">
        <v>202</v>
      </c>
      <c r="C20" s="462" t="s">
        <v>231</v>
      </c>
      <c r="D20" s="424" t="s">
        <v>60</v>
      </c>
      <c r="E20" s="424" t="s">
        <v>60</v>
      </c>
      <c r="F20" s="467" t="s">
        <v>232</v>
      </c>
      <c r="G20" s="474" t="s">
        <v>233</v>
      </c>
      <c r="H20" s="424" t="s">
        <v>159</v>
      </c>
      <c r="I20" s="424" t="s">
        <v>205</v>
      </c>
      <c r="J20" s="461" t="s">
        <v>178</v>
      </c>
      <c r="K20" s="461" t="s">
        <v>178</v>
      </c>
      <c r="L20" s="461" t="s">
        <v>74</v>
      </c>
      <c r="M20" s="424" t="s">
        <v>234</v>
      </c>
      <c r="N20" s="463" t="s">
        <v>235</v>
      </c>
      <c r="O20" s="463" t="s">
        <v>177</v>
      </c>
      <c r="P20" s="463" t="s">
        <v>74</v>
      </c>
      <c r="Q20" s="463" t="s">
        <v>236</v>
      </c>
      <c r="R20" s="463" t="s">
        <v>110</v>
      </c>
      <c r="S20" s="424">
        <f>VLOOKUP(R20,[3]Campos!$H$11:$Q$37,3,FALSE)</f>
        <v>74</v>
      </c>
      <c r="T20" s="464" t="s">
        <v>99</v>
      </c>
      <c r="U20" s="424">
        <f>VLOOKUP(Selección1,[3]Campos!$K$11:$M$37,2,FALSE)</f>
        <v>3</v>
      </c>
      <c r="V20" s="424">
        <f t="shared" ref="V20" si="2">+S20+U20</f>
        <v>77</v>
      </c>
      <c r="W20" s="427" t="str">
        <f>+VLOOKUP(V20,[3]Campos!$M$11:$N$37,2,FALSE)</f>
        <v>3 - Zona de riesgo Alta</v>
      </c>
      <c r="X20" s="190" t="s">
        <v>310</v>
      </c>
      <c r="Y20" s="117" t="s">
        <v>118</v>
      </c>
      <c r="Z20" s="118"/>
      <c r="AA20" s="118" t="s">
        <v>43</v>
      </c>
      <c r="AB20" s="118">
        <f>VLOOKUP(AA20,[3]Campos!$D$66:$E$67,2,FALSE)</f>
        <v>0.15</v>
      </c>
      <c r="AC20" s="118">
        <f>+Z20+AB20</f>
        <v>0.15</v>
      </c>
      <c r="AD20" s="118">
        <f>+IF(Y20="Correctivo",'[3]Gestión y Seguridad Digital'!AC20+0.1,'[3]Gestión y Seguridad Digital'!AC20*0)</f>
        <v>0</v>
      </c>
      <c r="AE20" s="119" t="s">
        <v>123</v>
      </c>
      <c r="AF20" s="119" t="s">
        <v>45</v>
      </c>
      <c r="AG20" s="118" t="s">
        <v>129</v>
      </c>
      <c r="AH20" s="466" t="s">
        <v>135</v>
      </c>
      <c r="AI20" s="179"/>
      <c r="AJ20" s="466" t="s">
        <v>99</v>
      </c>
      <c r="AK20" s="424">
        <f>+VLOOKUP(AJ20,[3]Campos!$S$32:$T$39,2,FALSE)</f>
        <v>0.8</v>
      </c>
      <c r="AL20" s="181">
        <v>0.6</v>
      </c>
      <c r="AM20" s="424" t="str">
        <f>+VLOOKUP(AL20,[3]Campos!$W$23:$X$122,2,TRUE)</f>
        <v>Media - 60%</v>
      </c>
      <c r="AN20" s="475">
        <f>+[3]Campos!L119</f>
        <v>0</v>
      </c>
      <c r="AO20" s="424" t="e">
        <f>+VLOOKUP(AN20,[3]Campos!$W$22:$Y$122,3,TRUE)</f>
        <v>#N/A</v>
      </c>
      <c r="AP20" s="469" t="s">
        <v>100</v>
      </c>
      <c r="AQ20" s="470" t="s">
        <v>98</v>
      </c>
      <c r="AR20" s="188" t="s">
        <v>311</v>
      </c>
      <c r="AS20" s="120" t="s">
        <v>237</v>
      </c>
      <c r="AT20" s="83" t="s">
        <v>238</v>
      </c>
      <c r="AU20" s="82" t="s">
        <v>157</v>
      </c>
      <c r="AV20" s="93" t="s">
        <v>223</v>
      </c>
      <c r="AW20" s="93" t="s">
        <v>224</v>
      </c>
      <c r="AX20" s="463" t="s">
        <v>239</v>
      </c>
      <c r="AY20" s="424" t="s">
        <v>240</v>
      </c>
      <c r="AZ20" s="424" t="s">
        <v>227</v>
      </c>
      <c r="BA20" s="461" t="s">
        <v>228</v>
      </c>
      <c r="BB20" s="424" t="s">
        <v>312</v>
      </c>
    </row>
    <row r="21" spans="1:60" ht="178" customHeight="1">
      <c r="A21" s="465"/>
      <c r="B21" s="424"/>
      <c r="C21" s="462"/>
      <c r="D21" s="424"/>
      <c r="E21" s="424"/>
      <c r="F21" s="467"/>
      <c r="G21" s="474"/>
      <c r="H21" s="424"/>
      <c r="I21" s="424"/>
      <c r="J21" s="461"/>
      <c r="K21" s="461"/>
      <c r="L21" s="461"/>
      <c r="M21" s="424"/>
      <c r="N21" s="463"/>
      <c r="O21" s="463"/>
      <c r="P21" s="463"/>
      <c r="Q21" s="463"/>
      <c r="R21" s="463"/>
      <c r="S21" s="424"/>
      <c r="T21" s="464"/>
      <c r="U21" s="424"/>
      <c r="V21" s="424"/>
      <c r="W21" s="427"/>
      <c r="X21" s="190" t="s">
        <v>241</v>
      </c>
      <c r="Y21" s="117" t="s">
        <v>118</v>
      </c>
      <c r="Z21" s="118"/>
      <c r="AA21" s="118" t="s">
        <v>43</v>
      </c>
      <c r="AB21" s="118">
        <f>VLOOKUP(AA21,[3]Campos!$D$66:$E$67,2,FALSE)</f>
        <v>0.15</v>
      </c>
      <c r="AC21" s="118">
        <f t="shared" ref="AC21" si="3">+Z21+AB21</f>
        <v>0.15</v>
      </c>
      <c r="AD21" s="118">
        <f>+IF(Y21="Correctivo",'[3]Gestión y Seguridad Digital'!AC21+0.1,'[3]Gestión y Seguridad Digital'!AC21*0)</f>
        <v>0</v>
      </c>
      <c r="AE21" s="119" t="s">
        <v>123</v>
      </c>
      <c r="AF21" s="119" t="s">
        <v>45</v>
      </c>
      <c r="AG21" s="118" t="s">
        <v>129</v>
      </c>
      <c r="AH21" s="466"/>
      <c r="AI21" s="179"/>
      <c r="AJ21" s="466"/>
      <c r="AK21" s="424"/>
      <c r="AL21" s="181">
        <v>0.4</v>
      </c>
      <c r="AM21" s="424"/>
      <c r="AN21" s="475"/>
      <c r="AO21" s="424"/>
      <c r="AP21" s="469"/>
      <c r="AQ21" s="470"/>
      <c r="AR21" s="188" t="s">
        <v>242</v>
      </c>
      <c r="AS21" s="120" t="s">
        <v>243</v>
      </c>
      <c r="AT21" s="83" t="s">
        <v>238</v>
      </c>
      <c r="AU21" s="82" t="s">
        <v>244</v>
      </c>
      <c r="AV21" s="93" t="s">
        <v>245</v>
      </c>
      <c r="AW21" s="93" t="s">
        <v>246</v>
      </c>
      <c r="AX21" s="463"/>
      <c r="AY21" s="424"/>
      <c r="AZ21" s="424"/>
      <c r="BA21" s="461"/>
      <c r="BB21" s="424"/>
    </row>
    <row r="22" spans="1:60" ht="93">
      <c r="A22" s="465" t="s">
        <v>430</v>
      </c>
      <c r="B22" s="424" t="s">
        <v>202</v>
      </c>
      <c r="C22" s="428" t="s">
        <v>267</v>
      </c>
      <c r="D22" s="424" t="s">
        <v>61</v>
      </c>
      <c r="E22" s="424" t="s">
        <v>61</v>
      </c>
      <c r="F22" s="424" t="s">
        <v>248</v>
      </c>
      <c r="G22" s="424" t="s">
        <v>249</v>
      </c>
      <c r="H22" s="424" t="s">
        <v>159</v>
      </c>
      <c r="I22" s="424" t="s">
        <v>205</v>
      </c>
      <c r="J22" s="424" t="s">
        <v>178</v>
      </c>
      <c r="K22" s="424" t="s">
        <v>178</v>
      </c>
      <c r="L22" s="424" t="s">
        <v>74</v>
      </c>
      <c r="M22" s="424" t="s">
        <v>250</v>
      </c>
      <c r="N22" s="424" t="s">
        <v>251</v>
      </c>
      <c r="O22" s="424" t="s">
        <v>177</v>
      </c>
      <c r="P22" s="424" t="s">
        <v>74</v>
      </c>
      <c r="Q22" s="424" t="s">
        <v>252</v>
      </c>
      <c r="R22" s="424" t="s">
        <v>42</v>
      </c>
      <c r="S22" s="83">
        <v>52</v>
      </c>
      <c r="T22" s="424" t="s">
        <v>96</v>
      </c>
      <c r="U22" s="83">
        <v>3</v>
      </c>
      <c r="V22" s="424">
        <v>55</v>
      </c>
      <c r="W22" s="427" t="s">
        <v>97</v>
      </c>
      <c r="X22" s="424" t="s">
        <v>253</v>
      </c>
      <c r="Y22" s="424" t="s">
        <v>118</v>
      </c>
      <c r="Z22" s="424">
        <v>0.25</v>
      </c>
      <c r="AA22" s="424" t="s">
        <v>43</v>
      </c>
      <c r="AB22" s="424">
        <v>0.15</v>
      </c>
      <c r="AC22" s="424">
        <v>0.4</v>
      </c>
      <c r="AD22" s="83">
        <v>0</v>
      </c>
      <c r="AE22" s="424" t="s">
        <v>44</v>
      </c>
      <c r="AF22" s="424" t="s">
        <v>45</v>
      </c>
      <c r="AG22" s="424" t="s">
        <v>129</v>
      </c>
      <c r="AH22" s="83" t="s">
        <v>46</v>
      </c>
      <c r="AI22" s="83">
        <v>0.6</v>
      </c>
      <c r="AJ22" s="83" t="s">
        <v>94</v>
      </c>
      <c r="AK22" s="83">
        <v>0.4</v>
      </c>
      <c r="AL22" s="426">
        <v>0.36</v>
      </c>
      <c r="AM22" s="424" t="s">
        <v>135</v>
      </c>
      <c r="AN22" s="83">
        <v>0.6</v>
      </c>
      <c r="AO22" s="83" t="s">
        <v>96</v>
      </c>
      <c r="AP22" s="424" t="s">
        <v>97</v>
      </c>
      <c r="AQ22" s="424" t="s">
        <v>98</v>
      </c>
      <c r="AR22" s="83" t="s">
        <v>254</v>
      </c>
      <c r="AS22" s="83" t="s">
        <v>255</v>
      </c>
      <c r="AT22" s="83" t="s">
        <v>256</v>
      </c>
      <c r="AU22" s="83" t="s">
        <v>244</v>
      </c>
      <c r="AV22" s="83" t="s">
        <v>257</v>
      </c>
      <c r="AW22" s="83" t="s">
        <v>258</v>
      </c>
      <c r="AX22" s="83" t="s">
        <v>259</v>
      </c>
      <c r="AY22" s="83" t="s">
        <v>260</v>
      </c>
      <c r="AZ22" s="83" t="s">
        <v>261</v>
      </c>
      <c r="BA22" s="83" t="s">
        <v>48</v>
      </c>
      <c r="BB22" s="407" t="s">
        <v>178</v>
      </c>
    </row>
    <row r="23" spans="1:60" ht="124">
      <c r="A23" s="465"/>
      <c r="B23" s="424"/>
      <c r="C23" s="428"/>
      <c r="D23" s="424"/>
      <c r="E23" s="424"/>
      <c r="F23" s="424"/>
      <c r="G23" s="424"/>
      <c r="H23" s="424"/>
      <c r="I23" s="424"/>
      <c r="J23" s="424"/>
      <c r="K23" s="424"/>
      <c r="L23" s="424"/>
      <c r="M23" s="424"/>
      <c r="N23" s="424"/>
      <c r="O23" s="424"/>
      <c r="P23" s="424"/>
      <c r="Q23" s="424"/>
      <c r="R23" s="424"/>
      <c r="S23" s="83"/>
      <c r="T23" s="424"/>
      <c r="U23" s="83"/>
      <c r="V23" s="424"/>
      <c r="W23" s="427"/>
      <c r="X23" s="424"/>
      <c r="Y23" s="424"/>
      <c r="Z23" s="424"/>
      <c r="AA23" s="424"/>
      <c r="AB23" s="424"/>
      <c r="AC23" s="424"/>
      <c r="AD23" s="83"/>
      <c r="AE23" s="424"/>
      <c r="AF23" s="424"/>
      <c r="AG23" s="424"/>
      <c r="AH23" s="83"/>
      <c r="AI23" s="83"/>
      <c r="AJ23" s="83"/>
      <c r="AK23" s="83"/>
      <c r="AL23" s="426"/>
      <c r="AM23" s="424"/>
      <c r="AN23" s="83"/>
      <c r="AO23" s="83"/>
      <c r="AP23" s="424"/>
      <c r="AQ23" s="424"/>
      <c r="AR23" s="83" t="s">
        <v>262</v>
      </c>
      <c r="AS23" s="83" t="s">
        <v>263</v>
      </c>
      <c r="AT23" s="83" t="s">
        <v>256</v>
      </c>
      <c r="AU23" s="83" t="s">
        <v>157</v>
      </c>
      <c r="AV23" s="83" t="s">
        <v>264</v>
      </c>
      <c r="AW23" s="83" t="s">
        <v>265</v>
      </c>
      <c r="AX23" s="83" t="s">
        <v>266</v>
      </c>
      <c r="AY23" s="83" t="s">
        <v>260</v>
      </c>
      <c r="AZ23" s="83" t="s">
        <v>261</v>
      </c>
      <c r="BA23" s="83" t="s">
        <v>48</v>
      </c>
      <c r="BB23" s="407" t="s">
        <v>178</v>
      </c>
    </row>
    <row r="24" spans="1:60" ht="263.5">
      <c r="A24" s="425" t="s">
        <v>429</v>
      </c>
      <c r="B24" s="424" t="s">
        <v>202</v>
      </c>
      <c r="C24" s="428" t="s">
        <v>268</v>
      </c>
      <c r="D24" s="424" t="s">
        <v>65</v>
      </c>
      <c r="E24" s="424" t="s">
        <v>65</v>
      </c>
      <c r="F24" s="424" t="s">
        <v>269</v>
      </c>
      <c r="G24" s="424" t="s">
        <v>270</v>
      </c>
      <c r="H24" s="424" t="s">
        <v>159</v>
      </c>
      <c r="I24" s="424" t="s">
        <v>205</v>
      </c>
      <c r="J24" s="424" t="s">
        <v>178</v>
      </c>
      <c r="K24" s="424" t="s">
        <v>178</v>
      </c>
      <c r="L24" s="424" t="s">
        <v>271</v>
      </c>
      <c r="M24" s="83" t="s">
        <v>313</v>
      </c>
      <c r="N24" s="83" t="s">
        <v>272</v>
      </c>
      <c r="O24" s="83" t="s">
        <v>177</v>
      </c>
      <c r="P24" s="83" t="s">
        <v>74</v>
      </c>
      <c r="Q24" s="83" t="s">
        <v>273</v>
      </c>
      <c r="R24" s="83" t="s">
        <v>42</v>
      </c>
      <c r="S24" s="83">
        <v>52</v>
      </c>
      <c r="T24" s="83" t="s">
        <v>96</v>
      </c>
      <c r="U24" s="83">
        <v>3</v>
      </c>
      <c r="V24" s="83">
        <v>55</v>
      </c>
      <c r="W24" s="150" t="s">
        <v>97</v>
      </c>
      <c r="X24" s="83" t="s">
        <v>274</v>
      </c>
      <c r="Y24" s="83" t="s">
        <v>119</v>
      </c>
      <c r="Z24" s="83">
        <v>0.15</v>
      </c>
      <c r="AA24" s="83" t="s">
        <v>43</v>
      </c>
      <c r="AB24" s="83">
        <v>0.15</v>
      </c>
      <c r="AC24" s="83">
        <v>0.3</v>
      </c>
      <c r="AD24" s="83">
        <v>0</v>
      </c>
      <c r="AE24" s="83" t="s">
        <v>44</v>
      </c>
      <c r="AF24" s="83" t="s">
        <v>126</v>
      </c>
      <c r="AG24" s="83" t="s">
        <v>129</v>
      </c>
      <c r="AH24" s="83" t="s">
        <v>46</v>
      </c>
      <c r="AI24" s="83">
        <v>0.6</v>
      </c>
      <c r="AJ24" s="83" t="s">
        <v>96</v>
      </c>
      <c r="AK24" s="83">
        <v>0.6</v>
      </c>
      <c r="AL24" s="137">
        <v>0.42</v>
      </c>
      <c r="AM24" s="83" t="s">
        <v>46</v>
      </c>
      <c r="AN24" s="83">
        <v>0.6</v>
      </c>
      <c r="AO24" s="83" t="s">
        <v>96</v>
      </c>
      <c r="AP24" s="83" t="s">
        <v>97</v>
      </c>
      <c r="AQ24" s="83" t="s">
        <v>98</v>
      </c>
      <c r="AR24" s="83" t="s">
        <v>314</v>
      </c>
      <c r="AS24" s="83" t="s">
        <v>275</v>
      </c>
      <c r="AT24" s="83" t="s">
        <v>276</v>
      </c>
      <c r="AU24" s="83" t="s">
        <v>157</v>
      </c>
      <c r="AV24" s="83" t="s">
        <v>277</v>
      </c>
      <c r="AW24" s="83" t="s">
        <v>278</v>
      </c>
      <c r="AX24" s="83" t="s">
        <v>315</v>
      </c>
      <c r="AY24" s="83" t="s">
        <v>316</v>
      </c>
      <c r="AZ24" s="83" t="s">
        <v>279</v>
      </c>
      <c r="BA24" s="83" t="s">
        <v>317</v>
      </c>
      <c r="BB24" s="407" t="s">
        <v>178</v>
      </c>
    </row>
    <row r="25" spans="1:60" ht="139.5">
      <c r="A25" s="425"/>
      <c r="B25" s="424"/>
      <c r="C25" s="428"/>
      <c r="D25" s="424"/>
      <c r="E25" s="424"/>
      <c r="F25" s="424"/>
      <c r="G25" s="424"/>
      <c r="H25" s="424"/>
      <c r="I25" s="424"/>
      <c r="J25" s="424"/>
      <c r="K25" s="424"/>
      <c r="L25" s="424"/>
      <c r="M25" s="83" t="s">
        <v>280</v>
      </c>
      <c r="N25" s="83" t="s">
        <v>318</v>
      </c>
      <c r="O25" s="83" t="s">
        <v>177</v>
      </c>
      <c r="P25" s="83" t="s">
        <v>74</v>
      </c>
      <c r="Q25" s="83" t="s">
        <v>273</v>
      </c>
      <c r="R25" s="83" t="s">
        <v>42</v>
      </c>
      <c r="S25" s="83">
        <v>52</v>
      </c>
      <c r="T25" s="83" t="s">
        <v>96</v>
      </c>
      <c r="U25" s="83">
        <v>3</v>
      </c>
      <c r="V25" s="83">
        <v>55</v>
      </c>
      <c r="W25" s="150" t="s">
        <v>97</v>
      </c>
      <c r="X25" s="83" t="s">
        <v>281</v>
      </c>
      <c r="Y25" s="83" t="s">
        <v>118</v>
      </c>
      <c r="Z25" s="83">
        <v>0.25</v>
      </c>
      <c r="AA25" s="83" t="s">
        <v>43</v>
      </c>
      <c r="AB25" s="83">
        <v>0.15</v>
      </c>
      <c r="AC25" s="83">
        <v>0.4</v>
      </c>
      <c r="AD25" s="83">
        <v>0</v>
      </c>
      <c r="AE25" s="83" t="s">
        <v>44</v>
      </c>
      <c r="AF25" s="83" t="s">
        <v>126</v>
      </c>
      <c r="AG25" s="83" t="s">
        <v>129</v>
      </c>
      <c r="AH25" s="83" t="s">
        <v>46</v>
      </c>
      <c r="AI25" s="83">
        <v>0.6</v>
      </c>
      <c r="AJ25" s="83" t="s">
        <v>96</v>
      </c>
      <c r="AK25" s="83">
        <v>0.6</v>
      </c>
      <c r="AL25" s="137">
        <v>0.252</v>
      </c>
      <c r="AM25" s="83" t="s">
        <v>135</v>
      </c>
      <c r="AN25" s="83">
        <v>0.6</v>
      </c>
      <c r="AO25" s="83" t="s">
        <v>96</v>
      </c>
      <c r="AP25" s="83" t="s">
        <v>97</v>
      </c>
      <c r="AQ25" s="83" t="s">
        <v>98</v>
      </c>
      <c r="AR25" s="83" t="s">
        <v>282</v>
      </c>
      <c r="AS25" s="83" t="s">
        <v>283</v>
      </c>
      <c r="AT25" s="83" t="s">
        <v>319</v>
      </c>
      <c r="AU25" s="83" t="s">
        <v>157</v>
      </c>
      <c r="AV25" s="83" t="s">
        <v>277</v>
      </c>
      <c r="AW25" s="83" t="s">
        <v>278</v>
      </c>
      <c r="AX25" s="83" t="s">
        <v>282</v>
      </c>
      <c r="AY25" s="83" t="s">
        <v>284</v>
      </c>
      <c r="AZ25" s="83" t="s">
        <v>319</v>
      </c>
      <c r="BA25" s="83" t="s">
        <v>317</v>
      </c>
      <c r="BB25" s="407" t="s">
        <v>178</v>
      </c>
    </row>
    <row r="26" spans="1:60" ht="279">
      <c r="A26" s="148" t="s">
        <v>431</v>
      </c>
      <c r="B26" s="366" t="s">
        <v>202</v>
      </c>
      <c r="C26" s="396" t="s">
        <v>268</v>
      </c>
      <c r="D26" s="83" t="s">
        <v>65</v>
      </c>
      <c r="E26" s="83" t="s">
        <v>65</v>
      </c>
      <c r="F26" s="83" t="s">
        <v>320</v>
      </c>
      <c r="G26" s="83" t="s">
        <v>285</v>
      </c>
      <c r="H26" s="83" t="s">
        <v>159</v>
      </c>
      <c r="I26" s="83" t="s">
        <v>205</v>
      </c>
      <c r="J26" s="83" t="s">
        <v>178</v>
      </c>
      <c r="K26" s="83" t="s">
        <v>178</v>
      </c>
      <c r="L26" s="83" t="s">
        <v>271</v>
      </c>
      <c r="M26" s="83" t="s">
        <v>321</v>
      </c>
      <c r="N26" s="83" t="s">
        <v>286</v>
      </c>
      <c r="O26" s="83" t="s">
        <v>177</v>
      </c>
      <c r="P26" s="83" t="s">
        <v>75</v>
      </c>
      <c r="Q26" s="83" t="s">
        <v>273</v>
      </c>
      <c r="R26" s="83" t="s">
        <v>42</v>
      </c>
      <c r="S26" s="83">
        <v>52</v>
      </c>
      <c r="T26" s="83" t="s">
        <v>96</v>
      </c>
      <c r="U26" s="83">
        <v>3</v>
      </c>
      <c r="V26" s="83">
        <v>55</v>
      </c>
      <c r="W26" s="150" t="s">
        <v>97</v>
      </c>
      <c r="X26" s="83" t="s">
        <v>287</v>
      </c>
      <c r="Y26" s="83" t="s">
        <v>118</v>
      </c>
      <c r="Z26" s="83"/>
      <c r="AA26" s="83" t="s">
        <v>43</v>
      </c>
      <c r="AB26" s="83">
        <v>0.15</v>
      </c>
      <c r="AC26" s="83">
        <v>0.15</v>
      </c>
      <c r="AD26" s="83">
        <v>0</v>
      </c>
      <c r="AE26" s="83" t="s">
        <v>44</v>
      </c>
      <c r="AF26" s="83" t="s">
        <v>126</v>
      </c>
      <c r="AG26" s="83" t="s">
        <v>129</v>
      </c>
      <c r="AH26" s="83" t="s">
        <v>46</v>
      </c>
      <c r="AI26" s="83">
        <v>0.6</v>
      </c>
      <c r="AJ26" s="83" t="s">
        <v>96</v>
      </c>
      <c r="AK26" s="83">
        <v>0.6</v>
      </c>
      <c r="AL26" s="137">
        <v>0.2142</v>
      </c>
      <c r="AM26" s="83" t="s">
        <v>135</v>
      </c>
      <c r="AN26" s="83">
        <v>0.6</v>
      </c>
      <c r="AO26" s="83" t="s">
        <v>96</v>
      </c>
      <c r="AP26" s="83" t="s">
        <v>97</v>
      </c>
      <c r="AQ26" s="83" t="s">
        <v>98</v>
      </c>
      <c r="AR26" s="83" t="s">
        <v>288</v>
      </c>
      <c r="AS26" s="83" t="s">
        <v>289</v>
      </c>
      <c r="AT26" s="83" t="s">
        <v>290</v>
      </c>
      <c r="AU26" s="83" t="s">
        <v>244</v>
      </c>
      <c r="AV26" s="83" t="s">
        <v>291</v>
      </c>
      <c r="AW26" s="83" t="s">
        <v>292</v>
      </c>
      <c r="AX26" s="83" t="s">
        <v>293</v>
      </c>
      <c r="AY26" s="83" t="s">
        <v>294</v>
      </c>
      <c r="AZ26" s="83" t="s">
        <v>290</v>
      </c>
      <c r="BA26" s="83" t="s">
        <v>317</v>
      </c>
      <c r="BB26" s="407" t="s">
        <v>178</v>
      </c>
    </row>
    <row r="27" spans="1:60" ht="361" customHeight="1">
      <c r="A27" s="425" t="s">
        <v>432</v>
      </c>
      <c r="B27" s="424" t="s">
        <v>202</v>
      </c>
      <c r="C27" s="428" t="s">
        <v>325</v>
      </c>
      <c r="D27" s="424" t="s">
        <v>61</v>
      </c>
      <c r="E27" s="424" t="s">
        <v>61</v>
      </c>
      <c r="F27" s="424" t="s">
        <v>326</v>
      </c>
      <c r="G27" s="424" t="s">
        <v>327</v>
      </c>
      <c r="H27" s="424" t="s">
        <v>159</v>
      </c>
      <c r="I27" s="424" t="s">
        <v>205</v>
      </c>
      <c r="J27" s="424" t="s">
        <v>178</v>
      </c>
      <c r="K27" s="424" t="s">
        <v>178</v>
      </c>
      <c r="L27" s="424" t="s">
        <v>74</v>
      </c>
      <c r="M27" s="83" t="s">
        <v>328</v>
      </c>
      <c r="N27" s="424" t="s">
        <v>329</v>
      </c>
      <c r="O27" s="424" t="s">
        <v>359</v>
      </c>
      <c r="P27" s="424" t="s">
        <v>75</v>
      </c>
      <c r="Q27" s="424" t="s">
        <v>330</v>
      </c>
      <c r="R27" s="424" t="s">
        <v>90</v>
      </c>
      <c r="S27" s="83">
        <v>30</v>
      </c>
      <c r="T27" s="424" t="s">
        <v>94</v>
      </c>
      <c r="U27" s="83">
        <v>2</v>
      </c>
      <c r="V27" s="424">
        <v>32</v>
      </c>
      <c r="W27" s="427" t="s">
        <v>95</v>
      </c>
      <c r="X27" s="424" t="s">
        <v>331</v>
      </c>
      <c r="Y27" s="424" t="s">
        <v>118</v>
      </c>
      <c r="Z27" s="424">
        <v>0.25</v>
      </c>
      <c r="AA27" s="424" t="s">
        <v>43</v>
      </c>
      <c r="AB27" s="424">
        <v>0.15</v>
      </c>
      <c r="AC27" s="424">
        <v>0.4</v>
      </c>
      <c r="AD27" s="83">
        <v>0</v>
      </c>
      <c r="AE27" s="424" t="s">
        <v>44</v>
      </c>
      <c r="AF27" s="424" t="s">
        <v>126</v>
      </c>
      <c r="AG27" s="424" t="s">
        <v>129</v>
      </c>
      <c r="AH27" s="83" t="s">
        <v>134</v>
      </c>
      <c r="AI27" s="83">
        <v>0.2</v>
      </c>
      <c r="AJ27" s="83" t="s">
        <v>94</v>
      </c>
      <c r="AK27" s="83">
        <v>0.4</v>
      </c>
      <c r="AL27" s="426">
        <v>0.12</v>
      </c>
      <c r="AM27" s="424" t="s">
        <v>134</v>
      </c>
      <c r="AN27" s="83">
        <v>0.4</v>
      </c>
      <c r="AO27" s="83" t="s">
        <v>94</v>
      </c>
      <c r="AP27" s="424" t="s">
        <v>95</v>
      </c>
      <c r="AQ27" s="424" t="s">
        <v>93</v>
      </c>
      <c r="AR27" s="424" t="s">
        <v>342</v>
      </c>
      <c r="AS27" s="424" t="s">
        <v>332</v>
      </c>
      <c r="AT27" s="424" t="s">
        <v>333</v>
      </c>
      <c r="AU27" s="424" t="s">
        <v>157</v>
      </c>
      <c r="AV27" s="424" t="s">
        <v>334</v>
      </c>
      <c r="AW27" s="424" t="s">
        <v>335</v>
      </c>
      <c r="AX27" s="83" t="s">
        <v>336</v>
      </c>
      <c r="AY27" s="83" t="s">
        <v>337</v>
      </c>
      <c r="AZ27" s="83" t="s">
        <v>333</v>
      </c>
      <c r="BA27" s="83" t="s">
        <v>338</v>
      </c>
      <c r="BB27" s="407" t="s">
        <v>178</v>
      </c>
    </row>
    <row r="28" spans="1:60" ht="192.5" customHeight="1">
      <c r="A28" s="425"/>
      <c r="B28" s="424"/>
      <c r="C28" s="428"/>
      <c r="D28" s="424"/>
      <c r="E28" s="424"/>
      <c r="F28" s="424"/>
      <c r="G28" s="424"/>
      <c r="H28" s="424"/>
      <c r="I28" s="424"/>
      <c r="J28" s="424"/>
      <c r="K28" s="424"/>
      <c r="L28" s="424"/>
      <c r="M28" s="83" t="s">
        <v>339</v>
      </c>
      <c r="N28" s="424"/>
      <c r="O28" s="424"/>
      <c r="P28" s="424"/>
      <c r="Q28" s="424"/>
      <c r="R28" s="424"/>
      <c r="S28" s="83"/>
      <c r="T28" s="424"/>
      <c r="U28" s="83"/>
      <c r="V28" s="424"/>
      <c r="W28" s="427"/>
      <c r="X28" s="424"/>
      <c r="Y28" s="424"/>
      <c r="Z28" s="424"/>
      <c r="AA28" s="424"/>
      <c r="AB28" s="424"/>
      <c r="AC28" s="424"/>
      <c r="AD28" s="83"/>
      <c r="AE28" s="424"/>
      <c r="AF28" s="424"/>
      <c r="AG28" s="424"/>
      <c r="AH28" s="83"/>
      <c r="AI28" s="83"/>
      <c r="AJ28" s="83"/>
      <c r="AK28" s="83" t="e">
        <v>#N/A</v>
      </c>
      <c r="AL28" s="426"/>
      <c r="AM28" s="424"/>
      <c r="AN28" s="83"/>
      <c r="AO28" s="83"/>
      <c r="AP28" s="424"/>
      <c r="AQ28" s="424"/>
      <c r="AR28" s="424"/>
      <c r="AS28" s="424"/>
      <c r="AT28" s="424"/>
      <c r="AU28" s="424"/>
      <c r="AV28" s="424"/>
      <c r="AW28" s="424"/>
      <c r="AX28" s="83" t="s">
        <v>340</v>
      </c>
      <c r="AY28" s="83" t="s">
        <v>341</v>
      </c>
      <c r="AZ28" s="83" t="s">
        <v>333</v>
      </c>
      <c r="BA28" s="83" t="s">
        <v>338</v>
      </c>
      <c r="BB28" s="407" t="s">
        <v>178</v>
      </c>
    </row>
    <row r="29" spans="1:60" ht="170.5">
      <c r="A29" s="148" t="s">
        <v>433</v>
      </c>
      <c r="B29" s="366" t="s">
        <v>202</v>
      </c>
      <c r="C29" s="396" t="s">
        <v>358</v>
      </c>
      <c r="D29" s="83" t="s">
        <v>61</v>
      </c>
      <c r="E29" s="83" t="s">
        <v>61</v>
      </c>
      <c r="F29" s="83" t="s">
        <v>343</v>
      </c>
      <c r="G29" s="83" t="s">
        <v>344</v>
      </c>
      <c r="H29" s="83" t="s">
        <v>159</v>
      </c>
      <c r="I29" s="83" t="s">
        <v>345</v>
      </c>
      <c r="J29" s="83" t="s">
        <v>178</v>
      </c>
      <c r="K29" s="83" t="s">
        <v>178</v>
      </c>
      <c r="L29" s="83" t="s">
        <v>74</v>
      </c>
      <c r="M29" s="83" t="s">
        <v>346</v>
      </c>
      <c r="N29" s="83" t="s">
        <v>347</v>
      </c>
      <c r="O29" s="83" t="s">
        <v>359</v>
      </c>
      <c r="P29" s="83" t="s">
        <v>348</v>
      </c>
      <c r="Q29" s="83" t="s">
        <v>349</v>
      </c>
      <c r="R29" s="83" t="s">
        <v>90</v>
      </c>
      <c r="S29" s="83">
        <v>30</v>
      </c>
      <c r="T29" s="83" t="s">
        <v>96</v>
      </c>
      <c r="U29" s="83">
        <v>3</v>
      </c>
      <c r="V29" s="83">
        <v>33</v>
      </c>
      <c r="W29" s="150" t="s">
        <v>97</v>
      </c>
      <c r="X29" s="83" t="s">
        <v>350</v>
      </c>
      <c r="Y29" s="83" t="s">
        <v>118</v>
      </c>
      <c r="Z29" s="83">
        <v>0.25</v>
      </c>
      <c r="AA29" s="83" t="s">
        <v>43</v>
      </c>
      <c r="AB29" s="83">
        <v>0.15</v>
      </c>
      <c r="AC29" s="83">
        <v>0.15</v>
      </c>
      <c r="AD29" s="83">
        <v>0</v>
      </c>
      <c r="AE29" s="83" t="s">
        <v>44</v>
      </c>
      <c r="AF29" s="83" t="s">
        <v>126</v>
      </c>
      <c r="AG29" s="83" t="s">
        <v>129</v>
      </c>
      <c r="AH29" s="83" t="s">
        <v>135</v>
      </c>
      <c r="AI29" s="83">
        <v>0.4</v>
      </c>
      <c r="AJ29" s="83" t="s">
        <v>99</v>
      </c>
      <c r="AK29" s="83">
        <v>0.8</v>
      </c>
      <c r="AL29" s="137">
        <v>0.34</v>
      </c>
      <c r="AM29" s="83" t="s">
        <v>135</v>
      </c>
      <c r="AN29" s="83">
        <v>0.8</v>
      </c>
      <c r="AO29" s="83" t="s">
        <v>99</v>
      </c>
      <c r="AP29" s="83" t="s">
        <v>97</v>
      </c>
      <c r="AQ29" s="83" t="s">
        <v>98</v>
      </c>
      <c r="AR29" s="83" t="s">
        <v>351</v>
      </c>
      <c r="AS29" s="83" t="s">
        <v>352</v>
      </c>
      <c r="AT29" s="83" t="s">
        <v>353</v>
      </c>
      <c r="AU29" s="83" t="s">
        <v>244</v>
      </c>
      <c r="AV29" s="83" t="s">
        <v>361</v>
      </c>
      <c r="AW29" s="83" t="s">
        <v>360</v>
      </c>
      <c r="AX29" s="83" t="s">
        <v>354</v>
      </c>
      <c r="AY29" s="83" t="s">
        <v>355</v>
      </c>
      <c r="AZ29" s="83" t="s">
        <v>356</v>
      </c>
      <c r="BA29" s="83" t="s">
        <v>357</v>
      </c>
      <c r="BB29" s="407" t="s">
        <v>178</v>
      </c>
    </row>
    <row r="30" spans="1:60" ht="196" customHeight="1">
      <c r="A30" s="425" t="s">
        <v>434</v>
      </c>
      <c r="B30" s="424" t="s">
        <v>202</v>
      </c>
      <c r="C30" s="428" t="s">
        <v>362</v>
      </c>
      <c r="D30" s="424" t="s">
        <v>58</v>
      </c>
      <c r="E30" s="424" t="s">
        <v>58</v>
      </c>
      <c r="F30" s="424" t="s">
        <v>363</v>
      </c>
      <c r="G30" s="424" t="s">
        <v>364</v>
      </c>
      <c r="H30" s="424" t="s">
        <v>159</v>
      </c>
      <c r="I30" s="424" t="s">
        <v>205</v>
      </c>
      <c r="J30" s="424" t="s">
        <v>178</v>
      </c>
      <c r="K30" s="424" t="s">
        <v>178</v>
      </c>
      <c r="L30" s="424" t="s">
        <v>74</v>
      </c>
      <c r="M30" s="424" t="s">
        <v>365</v>
      </c>
      <c r="N30" s="424" t="s">
        <v>442</v>
      </c>
      <c r="O30" s="424" t="s">
        <v>177</v>
      </c>
      <c r="P30" s="424" t="s">
        <v>75</v>
      </c>
      <c r="Q30" s="424" t="s">
        <v>443</v>
      </c>
      <c r="R30" s="424" t="s">
        <v>104</v>
      </c>
      <c r="S30" s="83">
        <v>42</v>
      </c>
      <c r="T30" s="424" t="s">
        <v>96</v>
      </c>
      <c r="U30" s="83">
        <v>3</v>
      </c>
      <c r="V30" s="424">
        <v>45</v>
      </c>
      <c r="W30" s="427" t="s">
        <v>97</v>
      </c>
      <c r="X30" s="424" t="s">
        <v>366</v>
      </c>
      <c r="Y30" s="424" t="s">
        <v>118</v>
      </c>
      <c r="Z30" s="424">
        <v>0.25</v>
      </c>
      <c r="AA30" s="424" t="s">
        <v>43</v>
      </c>
      <c r="AB30" s="424">
        <v>0.15</v>
      </c>
      <c r="AC30" s="424">
        <v>0.4</v>
      </c>
      <c r="AD30" s="83">
        <v>0</v>
      </c>
      <c r="AE30" s="424" t="s">
        <v>44</v>
      </c>
      <c r="AF30" s="424" t="s">
        <v>126</v>
      </c>
      <c r="AG30" s="424" t="s">
        <v>129</v>
      </c>
      <c r="AH30" s="83" t="s">
        <v>46</v>
      </c>
      <c r="AI30" s="83">
        <v>0.6</v>
      </c>
      <c r="AJ30" s="83" t="s">
        <v>94</v>
      </c>
      <c r="AK30" s="83">
        <v>0.4</v>
      </c>
      <c r="AL30" s="424">
        <v>0.36</v>
      </c>
      <c r="AM30" s="424" t="s">
        <v>135</v>
      </c>
      <c r="AN30" s="83">
        <v>0.4</v>
      </c>
      <c r="AO30" s="83" t="s">
        <v>94</v>
      </c>
      <c r="AP30" s="424" t="s">
        <v>97</v>
      </c>
      <c r="AQ30" s="424" t="s">
        <v>98</v>
      </c>
      <c r="AR30" s="83" t="s">
        <v>444</v>
      </c>
      <c r="AS30" s="83" t="s">
        <v>367</v>
      </c>
      <c r="AT30" s="83" t="s">
        <v>368</v>
      </c>
      <c r="AU30" s="83" t="s">
        <v>157</v>
      </c>
      <c r="AV30" s="83" t="s">
        <v>369</v>
      </c>
      <c r="AW30" s="83" t="s">
        <v>370</v>
      </c>
      <c r="AX30" s="424" t="s">
        <v>371</v>
      </c>
      <c r="AY30" s="424" t="s">
        <v>372</v>
      </c>
      <c r="AZ30" s="424" t="s">
        <v>373</v>
      </c>
      <c r="BA30" s="424" t="s">
        <v>374</v>
      </c>
      <c r="BB30" s="424" t="s">
        <v>178</v>
      </c>
    </row>
    <row r="31" spans="1:60" ht="99.5" customHeight="1">
      <c r="A31" s="425"/>
      <c r="B31" s="424"/>
      <c r="C31" s="428"/>
      <c r="D31" s="424"/>
      <c r="E31" s="424"/>
      <c r="F31" s="424"/>
      <c r="G31" s="424"/>
      <c r="H31" s="424"/>
      <c r="I31" s="424"/>
      <c r="J31" s="424"/>
      <c r="K31" s="424"/>
      <c r="L31" s="424"/>
      <c r="M31" s="424"/>
      <c r="N31" s="424"/>
      <c r="O31" s="424"/>
      <c r="P31" s="424"/>
      <c r="Q31" s="424"/>
      <c r="R31" s="424"/>
      <c r="S31" s="83"/>
      <c r="T31" s="424"/>
      <c r="U31" s="83"/>
      <c r="V31" s="424"/>
      <c r="W31" s="427"/>
      <c r="X31" s="424"/>
      <c r="Y31" s="424"/>
      <c r="Z31" s="424"/>
      <c r="AA31" s="424"/>
      <c r="AB31" s="424"/>
      <c r="AC31" s="424"/>
      <c r="AD31" s="83"/>
      <c r="AE31" s="424"/>
      <c r="AF31" s="424"/>
      <c r="AG31" s="424"/>
      <c r="AH31" s="83"/>
      <c r="AI31" s="83"/>
      <c r="AJ31" s="83"/>
      <c r="AK31" s="83" t="e">
        <v>#N/A</v>
      </c>
      <c r="AL31" s="424"/>
      <c r="AM31" s="424"/>
      <c r="AN31" s="83"/>
      <c r="AO31" s="83"/>
      <c r="AP31" s="424"/>
      <c r="AQ31" s="424"/>
      <c r="AR31" s="83" t="s">
        <v>375</v>
      </c>
      <c r="AS31" s="83" t="s">
        <v>376</v>
      </c>
      <c r="AT31" s="83" t="s">
        <v>377</v>
      </c>
      <c r="AU31" s="83" t="s">
        <v>157</v>
      </c>
      <c r="AV31" s="83" t="s">
        <v>369</v>
      </c>
      <c r="AW31" s="83" t="s">
        <v>370</v>
      </c>
      <c r="AX31" s="424"/>
      <c r="AY31" s="424"/>
      <c r="AZ31" s="424"/>
      <c r="BA31" s="424"/>
      <c r="BB31" s="424"/>
    </row>
    <row r="32" spans="1:60" ht="356.5">
      <c r="A32" s="148" t="s">
        <v>435</v>
      </c>
      <c r="B32" s="366" t="s">
        <v>202</v>
      </c>
      <c r="C32" s="396" t="s">
        <v>378</v>
      </c>
      <c r="D32" s="83" t="s">
        <v>58</v>
      </c>
      <c r="E32" s="83" t="s">
        <v>58</v>
      </c>
      <c r="F32" s="83" t="s">
        <v>379</v>
      </c>
      <c r="G32" s="83" t="s">
        <v>380</v>
      </c>
      <c r="H32" s="83" t="s">
        <v>159</v>
      </c>
      <c r="I32" s="83" t="s">
        <v>381</v>
      </c>
      <c r="J32" s="83" t="s">
        <v>178</v>
      </c>
      <c r="K32" s="83" t="s">
        <v>178</v>
      </c>
      <c r="L32" s="83" t="s">
        <v>74</v>
      </c>
      <c r="M32" s="83" t="s">
        <v>382</v>
      </c>
      <c r="N32" s="83" t="s">
        <v>383</v>
      </c>
      <c r="O32" s="83" t="s">
        <v>177</v>
      </c>
      <c r="P32" s="83" t="s">
        <v>75</v>
      </c>
      <c r="Q32" s="83" t="s">
        <v>384</v>
      </c>
      <c r="R32" s="83" t="s">
        <v>108</v>
      </c>
      <c r="S32" s="83">
        <v>63</v>
      </c>
      <c r="T32" s="83" t="s">
        <v>96</v>
      </c>
      <c r="U32" s="83">
        <v>3</v>
      </c>
      <c r="V32" s="83">
        <v>66</v>
      </c>
      <c r="W32" s="150" t="s">
        <v>109</v>
      </c>
      <c r="X32" s="83" t="s">
        <v>385</v>
      </c>
      <c r="Y32" s="83" t="s">
        <v>118</v>
      </c>
      <c r="Z32" s="83">
        <v>0.25</v>
      </c>
      <c r="AA32" s="83" t="s">
        <v>43</v>
      </c>
      <c r="AB32" s="83">
        <v>0.15</v>
      </c>
      <c r="AC32" s="83">
        <v>0.15</v>
      </c>
      <c r="AD32" s="83">
        <v>0</v>
      </c>
      <c r="AE32" s="83" t="s">
        <v>44</v>
      </c>
      <c r="AF32" s="83" t="s">
        <v>126</v>
      </c>
      <c r="AG32" s="83" t="s">
        <v>129</v>
      </c>
      <c r="AH32" s="83" t="s">
        <v>136</v>
      </c>
      <c r="AI32" s="83"/>
      <c r="AJ32" s="83" t="s">
        <v>96</v>
      </c>
      <c r="AK32" s="83">
        <v>0.6</v>
      </c>
      <c r="AL32" s="137">
        <v>0</v>
      </c>
      <c r="AM32" s="83" t="s">
        <v>386</v>
      </c>
      <c r="AN32" s="83">
        <v>0.6</v>
      </c>
      <c r="AO32" s="83" t="s">
        <v>96</v>
      </c>
      <c r="AP32" s="83" t="s">
        <v>97</v>
      </c>
      <c r="AQ32" s="83" t="s">
        <v>98</v>
      </c>
      <c r="AR32" s="83" t="s">
        <v>387</v>
      </c>
      <c r="AS32" s="83" t="s">
        <v>445</v>
      </c>
      <c r="AT32" s="83" t="s">
        <v>388</v>
      </c>
      <c r="AU32" s="83" t="s">
        <v>157</v>
      </c>
      <c r="AV32" s="83" t="s">
        <v>389</v>
      </c>
      <c r="AW32" s="83" t="s">
        <v>390</v>
      </c>
      <c r="AX32" s="83" t="s">
        <v>391</v>
      </c>
      <c r="AY32" s="83" t="s">
        <v>392</v>
      </c>
      <c r="AZ32" s="83" t="s">
        <v>393</v>
      </c>
      <c r="BA32" s="83" t="s">
        <v>446</v>
      </c>
      <c r="BB32" s="407" t="s">
        <v>394</v>
      </c>
    </row>
    <row r="33" spans="1:54" ht="124">
      <c r="A33" s="425" t="s">
        <v>436</v>
      </c>
      <c r="B33" s="424" t="s">
        <v>202</v>
      </c>
      <c r="C33" s="462" t="s">
        <v>395</v>
      </c>
      <c r="D33" s="424" t="s">
        <v>58</v>
      </c>
      <c r="E33" s="424" t="s">
        <v>60</v>
      </c>
      <c r="F33" s="424" t="s">
        <v>396</v>
      </c>
      <c r="G33" s="424" t="s">
        <v>418</v>
      </c>
      <c r="H33" s="424" t="s">
        <v>159</v>
      </c>
      <c r="I33" s="424" t="s">
        <v>205</v>
      </c>
      <c r="J33" s="461" t="s">
        <v>178</v>
      </c>
      <c r="K33" s="461" t="s">
        <v>178</v>
      </c>
      <c r="L33" s="461" t="s">
        <v>74</v>
      </c>
      <c r="M33" s="461" t="s">
        <v>397</v>
      </c>
      <c r="N33" s="463" t="s">
        <v>398</v>
      </c>
      <c r="O33" s="463" t="s">
        <v>177</v>
      </c>
      <c r="P33" s="463" t="s">
        <v>74</v>
      </c>
      <c r="Q33" s="463" t="s">
        <v>399</v>
      </c>
      <c r="R33" s="463" t="s">
        <v>90</v>
      </c>
      <c r="S33" s="424">
        <f>VLOOKUP(R33,[4]Campos!$H$11:$Q$37,3,FALSE)</f>
        <v>30</v>
      </c>
      <c r="T33" s="464" t="s">
        <v>91</v>
      </c>
      <c r="U33" s="424">
        <f>VLOOKUP(Selección1,[4]Campos!$K$11:$M$37,2,FALSE)</f>
        <v>3</v>
      </c>
      <c r="V33" s="424">
        <f>+S33+U33</f>
        <v>33</v>
      </c>
      <c r="W33" s="427" t="str">
        <f>+VLOOKUP(V33,[4]Campos!$M$11:$N$37,2,FALSE)</f>
        <v>3 - Zona de riesgo Moderada</v>
      </c>
      <c r="X33" s="490" t="s">
        <v>441</v>
      </c>
      <c r="Y33" s="461" t="s">
        <v>118</v>
      </c>
      <c r="Z33" s="424">
        <f>VLOOKUP(Y33,[4]Campos!$D$61:$F$64,2,FALSE)</f>
        <v>0.25</v>
      </c>
      <c r="AA33" s="424" t="s">
        <v>43</v>
      </c>
      <c r="AB33" s="424">
        <f>VLOOKUP(AA33,[4]Campos!$D$66:$E$67,2,FALSE)</f>
        <v>0.15</v>
      </c>
      <c r="AC33" s="424">
        <f>+Z33+AB33</f>
        <v>0.4</v>
      </c>
      <c r="AD33" s="424">
        <f>+IF(Y33="Correctivo",'[4]Gestión y Seguridad Digital'!AC33+0.1,'[4]Gestión y Seguridad Digital'!AC33*0)</f>
        <v>0</v>
      </c>
      <c r="AE33" s="463" t="s">
        <v>44</v>
      </c>
      <c r="AF33" s="463" t="s">
        <v>45</v>
      </c>
      <c r="AG33" s="424" t="s">
        <v>129</v>
      </c>
      <c r="AH33" s="466" t="s">
        <v>135</v>
      </c>
      <c r="AI33" s="488">
        <v>0.4</v>
      </c>
      <c r="AJ33" s="466" t="s">
        <v>91</v>
      </c>
      <c r="AK33" s="83">
        <f>+VLOOKUP(AJ33,[4]Campos!$S$32:$T$39,2,FALSE)</f>
        <v>0.2</v>
      </c>
      <c r="AL33" s="489">
        <f>+AI33-(AI33*AC33)</f>
        <v>0.24</v>
      </c>
      <c r="AM33" s="424" t="str">
        <f>+VLOOKUP(AL33,[4]Campos!$W$23:$X$122,2,TRUE)</f>
        <v>Baja - 40%</v>
      </c>
      <c r="AN33" s="475">
        <f>+IF(Y33="Correctivo",AK33*AD33,AK33*1)</f>
        <v>0.2</v>
      </c>
      <c r="AO33" s="424" t="str">
        <f>+VLOOKUP(AN33,[4]Campos!$W$22:$Y$122,3,TRUE)</f>
        <v>1 Leve</v>
      </c>
      <c r="AP33" s="469" t="s">
        <v>92</v>
      </c>
      <c r="AQ33" s="461" t="s">
        <v>93</v>
      </c>
      <c r="AR33" s="83" t="s">
        <v>400</v>
      </c>
      <c r="AS33" s="83" t="s">
        <v>401</v>
      </c>
      <c r="AT33" s="83" t="s">
        <v>402</v>
      </c>
      <c r="AU33" s="82" t="s">
        <v>157</v>
      </c>
      <c r="AV33" s="93" t="s">
        <v>403</v>
      </c>
      <c r="AW33" s="93" t="s">
        <v>404</v>
      </c>
      <c r="AX33" s="83" t="s">
        <v>405</v>
      </c>
      <c r="AY33" s="83" t="s">
        <v>419</v>
      </c>
      <c r="AZ33" s="83" t="s">
        <v>402</v>
      </c>
      <c r="BA33" s="82" t="s">
        <v>417</v>
      </c>
      <c r="BB33" s="424" t="s">
        <v>178</v>
      </c>
    </row>
    <row r="34" spans="1:54" ht="93">
      <c r="A34" s="425"/>
      <c r="B34" s="424"/>
      <c r="C34" s="462"/>
      <c r="D34" s="424"/>
      <c r="E34" s="424"/>
      <c r="F34" s="424"/>
      <c r="G34" s="424"/>
      <c r="H34" s="424"/>
      <c r="I34" s="424"/>
      <c r="J34" s="461"/>
      <c r="K34" s="461"/>
      <c r="L34" s="461"/>
      <c r="M34" s="461"/>
      <c r="N34" s="463"/>
      <c r="O34" s="463"/>
      <c r="P34" s="463"/>
      <c r="Q34" s="463"/>
      <c r="R34" s="463"/>
      <c r="S34" s="424"/>
      <c r="T34" s="464"/>
      <c r="U34" s="424"/>
      <c r="V34" s="424"/>
      <c r="W34" s="427"/>
      <c r="X34" s="490"/>
      <c r="Y34" s="461"/>
      <c r="Z34" s="424"/>
      <c r="AA34" s="424"/>
      <c r="AB34" s="424"/>
      <c r="AC34" s="424"/>
      <c r="AD34" s="424"/>
      <c r="AE34" s="463"/>
      <c r="AF34" s="463"/>
      <c r="AG34" s="424"/>
      <c r="AH34" s="466"/>
      <c r="AI34" s="466"/>
      <c r="AJ34" s="466"/>
      <c r="AK34" s="83"/>
      <c r="AL34" s="489"/>
      <c r="AM34" s="424"/>
      <c r="AN34" s="475"/>
      <c r="AO34" s="424"/>
      <c r="AP34" s="469"/>
      <c r="AQ34" s="461"/>
      <c r="AR34" s="83" t="s">
        <v>406</v>
      </c>
      <c r="AS34" s="83" t="s">
        <v>420</v>
      </c>
      <c r="AT34" s="83" t="s">
        <v>407</v>
      </c>
      <c r="AU34" s="82" t="s">
        <v>157</v>
      </c>
      <c r="AV34" s="93" t="s">
        <v>408</v>
      </c>
      <c r="AW34" s="93" t="s">
        <v>409</v>
      </c>
      <c r="AX34" s="83" t="s">
        <v>410</v>
      </c>
      <c r="AY34" s="83" t="s">
        <v>419</v>
      </c>
      <c r="AZ34" s="83" t="s">
        <v>407</v>
      </c>
      <c r="BA34" s="82" t="s">
        <v>417</v>
      </c>
      <c r="BB34" s="424"/>
    </row>
    <row r="35" spans="1:54" ht="62">
      <c r="A35" s="425"/>
      <c r="B35" s="424"/>
      <c r="C35" s="462"/>
      <c r="D35" s="424"/>
      <c r="E35" s="424"/>
      <c r="F35" s="424"/>
      <c r="G35" s="424"/>
      <c r="H35" s="424"/>
      <c r="I35" s="424"/>
      <c r="J35" s="461"/>
      <c r="K35" s="461"/>
      <c r="L35" s="461"/>
      <c r="M35" s="461"/>
      <c r="N35" s="463"/>
      <c r="O35" s="463"/>
      <c r="P35" s="463"/>
      <c r="Q35" s="463"/>
      <c r="R35" s="463"/>
      <c r="S35" s="424"/>
      <c r="T35" s="464"/>
      <c r="U35" s="424"/>
      <c r="V35" s="424"/>
      <c r="W35" s="427"/>
      <c r="X35" s="490"/>
      <c r="Y35" s="461"/>
      <c r="Z35" s="424"/>
      <c r="AA35" s="424"/>
      <c r="AB35" s="424"/>
      <c r="AC35" s="424"/>
      <c r="AD35" s="424"/>
      <c r="AE35" s="463"/>
      <c r="AF35" s="463"/>
      <c r="AG35" s="424"/>
      <c r="AH35" s="466"/>
      <c r="AI35" s="466"/>
      <c r="AJ35" s="466"/>
      <c r="AK35" s="83"/>
      <c r="AL35" s="489"/>
      <c r="AM35" s="424"/>
      <c r="AN35" s="475"/>
      <c r="AO35" s="424"/>
      <c r="AP35" s="469"/>
      <c r="AQ35" s="461"/>
      <c r="AR35" s="424" t="s">
        <v>411</v>
      </c>
      <c r="AS35" s="424" t="s">
        <v>421</v>
      </c>
      <c r="AT35" s="424" t="s">
        <v>422</v>
      </c>
      <c r="AU35" s="461" t="s">
        <v>157</v>
      </c>
      <c r="AV35" s="472" t="s">
        <v>412</v>
      </c>
      <c r="AW35" s="472" t="s">
        <v>404</v>
      </c>
      <c r="AX35" s="83" t="s">
        <v>413</v>
      </c>
      <c r="AY35" s="82" t="s">
        <v>392</v>
      </c>
      <c r="AZ35" s="83" t="s">
        <v>414</v>
      </c>
      <c r="BA35" s="82" t="s">
        <v>417</v>
      </c>
      <c r="BB35" s="424"/>
    </row>
    <row r="36" spans="1:54" ht="118.5" customHeight="1">
      <c r="A36" s="425"/>
      <c r="B36" s="424"/>
      <c r="C36" s="462"/>
      <c r="D36" s="424"/>
      <c r="E36" s="424"/>
      <c r="F36" s="424"/>
      <c r="G36" s="424"/>
      <c r="H36" s="424"/>
      <c r="I36" s="424"/>
      <c r="J36" s="461"/>
      <c r="K36" s="461"/>
      <c r="L36" s="461"/>
      <c r="M36" s="461"/>
      <c r="N36" s="463"/>
      <c r="O36" s="463"/>
      <c r="P36" s="463"/>
      <c r="Q36" s="463"/>
      <c r="R36" s="463"/>
      <c r="S36" s="424"/>
      <c r="T36" s="464"/>
      <c r="U36" s="424"/>
      <c r="V36" s="424"/>
      <c r="W36" s="427"/>
      <c r="X36" s="490"/>
      <c r="Y36" s="461"/>
      <c r="Z36" s="424"/>
      <c r="AA36" s="424"/>
      <c r="AB36" s="424"/>
      <c r="AC36" s="424"/>
      <c r="AD36" s="424"/>
      <c r="AE36" s="463"/>
      <c r="AF36" s="463"/>
      <c r="AG36" s="424"/>
      <c r="AH36" s="466"/>
      <c r="AI36" s="466"/>
      <c r="AJ36" s="466"/>
      <c r="AK36" s="83" t="e">
        <f>+VLOOKUP(AJ36,[4]Campos!$S$32:$T$39,2,FALSE)</f>
        <v>#N/A</v>
      </c>
      <c r="AL36" s="489"/>
      <c r="AM36" s="424"/>
      <c r="AN36" s="475"/>
      <c r="AO36" s="424"/>
      <c r="AP36" s="469"/>
      <c r="AQ36" s="461"/>
      <c r="AR36" s="424"/>
      <c r="AS36" s="424"/>
      <c r="AT36" s="424"/>
      <c r="AU36" s="461"/>
      <c r="AV36" s="472"/>
      <c r="AW36" s="472"/>
      <c r="AX36" s="83" t="s">
        <v>415</v>
      </c>
      <c r="AY36" s="82" t="s">
        <v>416</v>
      </c>
      <c r="AZ36" s="83" t="s">
        <v>423</v>
      </c>
      <c r="BA36" s="82" t="s">
        <v>417</v>
      </c>
      <c r="BB36" s="424"/>
    </row>
    <row r="37" spans="1:54" ht="279" customHeight="1">
      <c r="A37" s="476" t="s">
        <v>1070</v>
      </c>
      <c r="B37" s="479" t="s">
        <v>202</v>
      </c>
      <c r="C37" s="494" t="s">
        <v>1087</v>
      </c>
      <c r="D37" s="479" t="s">
        <v>58</v>
      </c>
      <c r="E37" s="479" t="s">
        <v>58</v>
      </c>
      <c r="F37" s="479" t="s">
        <v>1071</v>
      </c>
      <c r="G37" s="479" t="s">
        <v>1072</v>
      </c>
      <c r="H37" s="479" t="s">
        <v>159</v>
      </c>
      <c r="I37" s="479" t="s">
        <v>205</v>
      </c>
      <c r="J37" s="479" t="s">
        <v>178</v>
      </c>
      <c r="K37" s="479" t="s">
        <v>178</v>
      </c>
      <c r="L37" s="479" t="s">
        <v>74</v>
      </c>
      <c r="M37" s="479" t="s">
        <v>1088</v>
      </c>
      <c r="N37" s="366" t="s">
        <v>1073</v>
      </c>
      <c r="O37" s="479" t="s">
        <v>457</v>
      </c>
      <c r="P37" s="479" t="s">
        <v>74</v>
      </c>
      <c r="Q37" s="479" t="s">
        <v>1089</v>
      </c>
      <c r="R37" s="482" t="s">
        <v>104</v>
      </c>
      <c r="S37" s="367">
        <v>42</v>
      </c>
      <c r="T37" s="482" t="s">
        <v>94</v>
      </c>
      <c r="U37" s="367">
        <v>2</v>
      </c>
      <c r="V37" s="367">
        <v>44</v>
      </c>
      <c r="W37" s="485" t="s">
        <v>106</v>
      </c>
      <c r="X37" s="370" t="s">
        <v>1090</v>
      </c>
      <c r="Y37" s="371" t="s">
        <v>118</v>
      </c>
      <c r="Z37" s="372">
        <v>0.25</v>
      </c>
      <c r="AA37" s="372" t="s">
        <v>43</v>
      </c>
      <c r="AB37" s="372">
        <v>0.15</v>
      </c>
      <c r="AC37" s="372">
        <v>0.15</v>
      </c>
      <c r="AD37" s="372">
        <v>0</v>
      </c>
      <c r="AE37" s="373" t="s">
        <v>44</v>
      </c>
      <c r="AF37" s="373" t="s">
        <v>126</v>
      </c>
      <c r="AG37" s="372" t="s">
        <v>129</v>
      </c>
      <c r="AH37" s="374" t="s">
        <v>134</v>
      </c>
      <c r="AI37" s="374"/>
      <c r="AJ37" s="374" t="s">
        <v>94</v>
      </c>
      <c r="AK37" s="375">
        <v>0.4</v>
      </c>
      <c r="AL37" s="376">
        <v>0</v>
      </c>
      <c r="AM37" s="375" t="s">
        <v>135</v>
      </c>
      <c r="AN37" s="377">
        <v>0.4</v>
      </c>
      <c r="AO37" s="375" t="s">
        <v>94</v>
      </c>
      <c r="AP37" s="378" t="s">
        <v>95</v>
      </c>
      <c r="AQ37" s="491" t="s">
        <v>93</v>
      </c>
      <c r="AR37" s="379" t="s">
        <v>1091</v>
      </c>
      <c r="AS37" s="392" t="s">
        <v>1074</v>
      </c>
      <c r="AT37" s="387" t="s">
        <v>1092</v>
      </c>
      <c r="AU37" s="371" t="s">
        <v>157</v>
      </c>
      <c r="AV37" s="381">
        <v>45292</v>
      </c>
      <c r="AW37" s="381">
        <v>45657</v>
      </c>
      <c r="AX37" s="380" t="s">
        <v>1075</v>
      </c>
      <c r="AY37" s="380" t="s">
        <v>1076</v>
      </c>
      <c r="AZ37" s="380" t="s">
        <v>1092</v>
      </c>
      <c r="BA37" s="382" t="s">
        <v>1077</v>
      </c>
      <c r="BB37" s="840" t="s">
        <v>178</v>
      </c>
    </row>
    <row r="38" spans="1:54" ht="356.5">
      <c r="A38" s="477"/>
      <c r="B38" s="480"/>
      <c r="C38" s="495"/>
      <c r="D38" s="480"/>
      <c r="E38" s="480"/>
      <c r="F38" s="480"/>
      <c r="G38" s="480"/>
      <c r="H38" s="480"/>
      <c r="I38" s="480"/>
      <c r="J38" s="480"/>
      <c r="K38" s="480"/>
      <c r="L38" s="480"/>
      <c r="M38" s="480"/>
      <c r="N38" s="366" t="s">
        <v>1093</v>
      </c>
      <c r="O38" s="480"/>
      <c r="P38" s="480"/>
      <c r="Q38" s="480"/>
      <c r="R38" s="483"/>
      <c r="S38" s="367"/>
      <c r="T38" s="483"/>
      <c r="U38" s="367"/>
      <c r="V38" s="367"/>
      <c r="W38" s="486"/>
      <c r="X38" s="370" t="s">
        <v>1078</v>
      </c>
      <c r="Y38" s="383" t="s">
        <v>118</v>
      </c>
      <c r="Z38" s="372">
        <v>0.25</v>
      </c>
      <c r="AA38" s="384" t="s">
        <v>43</v>
      </c>
      <c r="AB38" s="384">
        <v>0.15</v>
      </c>
      <c r="AC38" s="384">
        <v>0.15</v>
      </c>
      <c r="AD38" s="384">
        <v>0</v>
      </c>
      <c r="AE38" s="385" t="s">
        <v>44</v>
      </c>
      <c r="AF38" s="385" t="s">
        <v>45</v>
      </c>
      <c r="AG38" s="384" t="s">
        <v>129</v>
      </c>
      <c r="AH38" s="386" t="s">
        <v>134</v>
      </c>
      <c r="AI38" s="386"/>
      <c r="AJ38" s="386" t="s">
        <v>94</v>
      </c>
      <c r="AK38" s="387">
        <v>0.4</v>
      </c>
      <c r="AL38" s="388">
        <v>0</v>
      </c>
      <c r="AM38" s="387" t="e">
        <v>#N/A</v>
      </c>
      <c r="AN38" s="389">
        <v>0.4</v>
      </c>
      <c r="AO38" s="387" t="s">
        <v>94</v>
      </c>
      <c r="AP38" s="390" t="s">
        <v>95</v>
      </c>
      <c r="AQ38" s="492"/>
      <c r="AR38" s="391" t="s">
        <v>1094</v>
      </c>
      <c r="AS38" s="392" t="s">
        <v>1079</v>
      </c>
      <c r="AT38" s="387" t="s">
        <v>1092</v>
      </c>
      <c r="AU38" s="371" t="s">
        <v>157</v>
      </c>
      <c r="AV38" s="381">
        <v>45474</v>
      </c>
      <c r="AW38" s="381">
        <v>45657</v>
      </c>
      <c r="AX38" s="387" t="s">
        <v>1080</v>
      </c>
      <c r="AY38" s="387" t="s">
        <v>1081</v>
      </c>
      <c r="AZ38" s="387" t="s">
        <v>1092</v>
      </c>
      <c r="BA38" s="382" t="s">
        <v>1082</v>
      </c>
      <c r="BB38" s="840"/>
    </row>
    <row r="39" spans="1:54" ht="325.5">
      <c r="A39" s="478"/>
      <c r="B39" s="481"/>
      <c r="C39" s="496"/>
      <c r="D39" s="481"/>
      <c r="E39" s="481"/>
      <c r="F39" s="481"/>
      <c r="G39" s="481"/>
      <c r="H39" s="481"/>
      <c r="I39" s="481"/>
      <c r="J39" s="481"/>
      <c r="K39" s="481"/>
      <c r="L39" s="481"/>
      <c r="M39" s="481"/>
      <c r="N39" s="405" t="s">
        <v>1095</v>
      </c>
      <c r="O39" s="481"/>
      <c r="P39" s="481"/>
      <c r="Q39" s="481"/>
      <c r="R39" s="484"/>
      <c r="S39" s="406"/>
      <c r="T39" s="484"/>
      <c r="U39" s="406"/>
      <c r="V39" s="406"/>
      <c r="W39" s="487"/>
      <c r="X39" s="817" t="s">
        <v>1096</v>
      </c>
      <c r="Y39" s="403" t="s">
        <v>118</v>
      </c>
      <c r="Z39" s="818">
        <v>0.25</v>
      </c>
      <c r="AA39" s="819" t="s">
        <v>43</v>
      </c>
      <c r="AB39" s="819">
        <v>0.15</v>
      </c>
      <c r="AC39" s="819">
        <v>0.15</v>
      </c>
      <c r="AD39" s="819">
        <v>0</v>
      </c>
      <c r="AE39" s="820" t="s">
        <v>44</v>
      </c>
      <c r="AF39" s="820" t="s">
        <v>126</v>
      </c>
      <c r="AG39" s="819" t="s">
        <v>129</v>
      </c>
      <c r="AH39" s="821" t="s">
        <v>134</v>
      </c>
      <c r="AI39" s="821"/>
      <c r="AJ39" s="821" t="s">
        <v>94</v>
      </c>
      <c r="AK39" s="822">
        <v>0.4</v>
      </c>
      <c r="AL39" s="823">
        <v>0</v>
      </c>
      <c r="AM39" s="822" t="e">
        <v>#N/A</v>
      </c>
      <c r="AN39" s="824">
        <v>0.4</v>
      </c>
      <c r="AO39" s="822" t="s">
        <v>94</v>
      </c>
      <c r="AP39" s="825" t="s">
        <v>95</v>
      </c>
      <c r="AQ39" s="493"/>
      <c r="AR39" s="826" t="s">
        <v>1083</v>
      </c>
      <c r="AS39" s="827" t="s">
        <v>1084</v>
      </c>
      <c r="AT39" s="822" t="s">
        <v>1092</v>
      </c>
      <c r="AU39" s="404" t="s">
        <v>48</v>
      </c>
      <c r="AV39" s="828">
        <v>45292</v>
      </c>
      <c r="AW39" s="828">
        <v>45657</v>
      </c>
      <c r="AX39" s="822" t="s">
        <v>1085</v>
      </c>
      <c r="AY39" s="822" t="s">
        <v>1086</v>
      </c>
      <c r="AZ39" s="822" t="s">
        <v>1092</v>
      </c>
      <c r="BA39" s="829" t="s">
        <v>1077</v>
      </c>
      <c r="BB39" s="840"/>
    </row>
    <row r="40" spans="1:54" s="839" customFormat="1" ht="395.5" customHeight="1">
      <c r="A40" s="476" t="s">
        <v>1113</v>
      </c>
      <c r="B40" s="479" t="s">
        <v>202</v>
      </c>
      <c r="C40" s="479" t="s">
        <v>1097</v>
      </c>
      <c r="D40" s="479" t="s">
        <v>62</v>
      </c>
      <c r="E40" s="479" t="s">
        <v>62</v>
      </c>
      <c r="F40" s="479" t="s">
        <v>1098</v>
      </c>
      <c r="G40" s="479" t="s">
        <v>1099</v>
      </c>
      <c r="H40" s="479" t="s">
        <v>159</v>
      </c>
      <c r="I40" s="479" t="s">
        <v>205</v>
      </c>
      <c r="J40" s="479" t="s">
        <v>178</v>
      </c>
      <c r="K40" s="479" t="s">
        <v>178</v>
      </c>
      <c r="L40" s="479" t="s">
        <v>74</v>
      </c>
      <c r="M40" s="479" t="s">
        <v>1100</v>
      </c>
      <c r="N40" s="479" t="s">
        <v>1101</v>
      </c>
      <c r="O40" s="479" t="s">
        <v>177</v>
      </c>
      <c r="P40" s="479" t="s">
        <v>74</v>
      </c>
      <c r="Q40" s="479" t="s">
        <v>1102</v>
      </c>
      <c r="R40" s="479" t="s">
        <v>42</v>
      </c>
      <c r="S40" s="407">
        <v>52</v>
      </c>
      <c r="T40" s="479" t="s">
        <v>96</v>
      </c>
      <c r="U40" s="407">
        <v>3</v>
      </c>
      <c r="V40" s="407">
        <v>55</v>
      </c>
      <c r="W40" s="485" t="s">
        <v>97</v>
      </c>
      <c r="X40" s="407" t="s">
        <v>1114</v>
      </c>
      <c r="Y40" s="407" t="s">
        <v>119</v>
      </c>
      <c r="Z40" s="407">
        <v>0.15</v>
      </c>
      <c r="AA40" s="407" t="s">
        <v>43</v>
      </c>
      <c r="AB40" s="407">
        <v>0.15</v>
      </c>
      <c r="AC40" s="407">
        <v>0.3</v>
      </c>
      <c r="AD40" s="407">
        <v>0</v>
      </c>
      <c r="AE40" s="407" t="s">
        <v>44</v>
      </c>
      <c r="AF40" s="407" t="s">
        <v>126</v>
      </c>
      <c r="AG40" s="407" t="s">
        <v>129</v>
      </c>
      <c r="AH40" s="407" t="s">
        <v>46</v>
      </c>
      <c r="AI40" s="232">
        <v>0.6</v>
      </c>
      <c r="AJ40" s="407" t="s">
        <v>96</v>
      </c>
      <c r="AK40" s="407">
        <v>0.6</v>
      </c>
      <c r="AL40" s="408">
        <v>0.42</v>
      </c>
      <c r="AM40" s="407" t="s">
        <v>46</v>
      </c>
      <c r="AN40" s="830">
        <v>0.6</v>
      </c>
      <c r="AO40" s="407" t="s">
        <v>96</v>
      </c>
      <c r="AP40" s="409" t="s">
        <v>97</v>
      </c>
      <c r="AQ40" s="407" t="s">
        <v>98</v>
      </c>
      <c r="AR40" s="407" t="s">
        <v>1112</v>
      </c>
      <c r="AS40" s="407" t="s">
        <v>1103</v>
      </c>
      <c r="AT40" s="407" t="s">
        <v>1104</v>
      </c>
      <c r="AU40" s="407" t="s">
        <v>244</v>
      </c>
      <c r="AV40" s="407" t="s">
        <v>245</v>
      </c>
      <c r="AW40" s="407" t="s">
        <v>1105</v>
      </c>
      <c r="AX40" s="479" t="s">
        <v>1106</v>
      </c>
      <c r="AY40" s="479" t="s">
        <v>1107</v>
      </c>
      <c r="AZ40" s="479" t="s">
        <v>1108</v>
      </c>
      <c r="BA40" s="479" t="s">
        <v>338</v>
      </c>
      <c r="BB40" s="479" t="s">
        <v>178</v>
      </c>
    </row>
    <row r="41" spans="1:54" s="839" customFormat="1" ht="395.5" customHeight="1">
      <c r="A41" s="478"/>
      <c r="B41" s="481"/>
      <c r="C41" s="481"/>
      <c r="D41" s="481"/>
      <c r="E41" s="481"/>
      <c r="F41" s="481"/>
      <c r="G41" s="481"/>
      <c r="H41" s="481"/>
      <c r="I41" s="481"/>
      <c r="J41" s="481"/>
      <c r="K41" s="481"/>
      <c r="L41" s="481"/>
      <c r="M41" s="481"/>
      <c r="N41" s="481"/>
      <c r="O41" s="481"/>
      <c r="P41" s="481"/>
      <c r="Q41" s="481"/>
      <c r="R41" s="481"/>
      <c r="S41" s="407"/>
      <c r="T41" s="481"/>
      <c r="U41" s="407"/>
      <c r="V41" s="407"/>
      <c r="W41" s="487"/>
      <c r="X41" s="407" t="s">
        <v>1109</v>
      </c>
      <c r="Y41" s="407" t="s">
        <v>118</v>
      </c>
      <c r="Z41" s="407">
        <v>0.25</v>
      </c>
      <c r="AA41" s="407" t="s">
        <v>43</v>
      </c>
      <c r="AB41" s="407">
        <v>0.15</v>
      </c>
      <c r="AC41" s="407">
        <v>0.4</v>
      </c>
      <c r="AD41" s="407">
        <v>0</v>
      </c>
      <c r="AE41" s="407" t="s">
        <v>44</v>
      </c>
      <c r="AF41" s="407" t="s">
        <v>126</v>
      </c>
      <c r="AG41" s="407" t="s">
        <v>129</v>
      </c>
      <c r="AH41" s="407" t="s">
        <v>46</v>
      </c>
      <c r="AI41" s="407"/>
      <c r="AJ41" s="407" t="s">
        <v>96</v>
      </c>
      <c r="AK41" s="407">
        <v>0.6</v>
      </c>
      <c r="AL41" s="408">
        <v>0.252</v>
      </c>
      <c r="AM41" s="407" t="s">
        <v>135</v>
      </c>
      <c r="AN41" s="830">
        <v>0.6</v>
      </c>
      <c r="AO41" s="407" t="s">
        <v>96</v>
      </c>
      <c r="AP41" s="409" t="s">
        <v>97</v>
      </c>
      <c r="AQ41" s="407" t="s">
        <v>98</v>
      </c>
      <c r="AR41" s="407" t="s">
        <v>1110</v>
      </c>
      <c r="AS41" s="407" t="s">
        <v>1115</v>
      </c>
      <c r="AT41" s="407" t="s">
        <v>1104</v>
      </c>
      <c r="AU41" s="407" t="s">
        <v>157</v>
      </c>
      <c r="AV41" s="407" t="s">
        <v>223</v>
      </c>
      <c r="AW41" s="407" t="s">
        <v>1111</v>
      </c>
      <c r="AX41" s="481"/>
      <c r="AY41" s="481"/>
      <c r="AZ41" s="481"/>
      <c r="BA41" s="481"/>
      <c r="BB41" s="481"/>
    </row>
    <row r="42" spans="1:54">
      <c r="C42" s="397"/>
      <c r="D42" s="368"/>
      <c r="E42" s="368"/>
      <c r="F42" s="368"/>
      <c r="G42" s="368"/>
      <c r="H42" s="368"/>
      <c r="I42" s="368"/>
      <c r="J42" s="368"/>
      <c r="K42" s="368"/>
      <c r="L42" s="368"/>
      <c r="M42" s="368"/>
      <c r="N42" s="369"/>
      <c r="O42" s="368"/>
      <c r="P42" s="368"/>
    </row>
    <row r="43" spans="1:54">
      <c r="C43" s="397"/>
      <c r="D43" s="368"/>
      <c r="E43" s="368"/>
      <c r="F43" s="368"/>
      <c r="G43" s="368"/>
      <c r="H43" s="368"/>
      <c r="I43" s="368"/>
      <c r="J43" s="368"/>
      <c r="K43" s="368"/>
      <c r="L43" s="368"/>
      <c r="M43" s="368"/>
      <c r="N43" s="369"/>
      <c r="O43" s="368"/>
      <c r="P43" s="368"/>
    </row>
  </sheetData>
  <sheetProtection formatCells="0" insertRows="0" deleteRows="0"/>
  <mergeCells count="397">
    <mergeCell ref="A40:A41"/>
    <mergeCell ref="AX40:AX41"/>
    <mergeCell ref="T40:T41"/>
    <mergeCell ref="W40:W41"/>
    <mergeCell ref="AY40:AY41"/>
    <mergeCell ref="AZ40:AZ41"/>
    <mergeCell ref="BA40:BA41"/>
    <mergeCell ref="BB40:BB41"/>
    <mergeCell ref="K40:K41"/>
    <mergeCell ref="L40:L41"/>
    <mergeCell ref="M40:M41"/>
    <mergeCell ref="N40:N41"/>
    <mergeCell ref="O40:O41"/>
    <mergeCell ref="P40:P41"/>
    <mergeCell ref="Q40:Q41"/>
    <mergeCell ref="R40:R41"/>
    <mergeCell ref="B40:B41"/>
    <mergeCell ref="C40:C41"/>
    <mergeCell ref="D40:D41"/>
    <mergeCell ref="E40:E41"/>
    <mergeCell ref="F40:F41"/>
    <mergeCell ref="G40:G41"/>
    <mergeCell ref="H40:H41"/>
    <mergeCell ref="I40:I41"/>
    <mergeCell ref="J40:J41"/>
    <mergeCell ref="AQ37:AQ39"/>
    <mergeCell ref="BB37:BB39"/>
    <mergeCell ref="B37:B39"/>
    <mergeCell ref="C37:C39"/>
    <mergeCell ref="D37:D39"/>
    <mergeCell ref="E37:E39"/>
    <mergeCell ref="F37:F39"/>
    <mergeCell ref="G37:G39"/>
    <mergeCell ref="H37:H39"/>
    <mergeCell ref="I37:I39"/>
    <mergeCell ref="J37:J39"/>
    <mergeCell ref="K37:K39"/>
    <mergeCell ref="L37:L39"/>
    <mergeCell ref="M37:M39"/>
    <mergeCell ref="AR35:AR36"/>
    <mergeCell ref="AS35:AS36"/>
    <mergeCell ref="AT35:AT36"/>
    <mergeCell ref="AU35:AU36"/>
    <mergeCell ref="AV35:AV36"/>
    <mergeCell ref="AW35:AW36"/>
    <mergeCell ref="A37:A39"/>
    <mergeCell ref="O37:O39"/>
    <mergeCell ref="P37:P39"/>
    <mergeCell ref="Q37:Q39"/>
    <mergeCell ref="R37:R39"/>
    <mergeCell ref="T37:T39"/>
    <mergeCell ref="W37:W39"/>
    <mergeCell ref="AN33:AN36"/>
    <mergeCell ref="AO33:AO36"/>
    <mergeCell ref="AD33:AD36"/>
    <mergeCell ref="AE33:AE36"/>
    <mergeCell ref="AF33:AF36"/>
    <mergeCell ref="AG33:AG36"/>
    <mergeCell ref="AH33:AH36"/>
    <mergeCell ref="AI33:AI36"/>
    <mergeCell ref="AJ33:AJ36"/>
    <mergeCell ref="AL33:AL36"/>
    <mergeCell ref="AM33:AM36"/>
    <mergeCell ref="AZ30:AZ31"/>
    <mergeCell ref="BA30:BA31"/>
    <mergeCell ref="BB30:BB31"/>
    <mergeCell ref="A30:A31"/>
    <mergeCell ref="A33:A36"/>
    <mergeCell ref="B33:B36"/>
    <mergeCell ref="C33:C36"/>
    <mergeCell ref="D33:D36"/>
    <mergeCell ref="E33:E36"/>
    <mergeCell ref="F33:F36"/>
    <mergeCell ref="G33:G36"/>
    <mergeCell ref="H33:H36"/>
    <mergeCell ref="I33:I36"/>
    <mergeCell ref="J33:J36"/>
    <mergeCell ref="K33:K36"/>
    <mergeCell ref="L33:L36"/>
    <mergeCell ref="M33:M36"/>
    <mergeCell ref="N33:N36"/>
    <mergeCell ref="O33:O36"/>
    <mergeCell ref="P33:P36"/>
    <mergeCell ref="Q33:Q36"/>
    <mergeCell ref="AP33:AP36"/>
    <mergeCell ref="AQ33:AQ36"/>
    <mergeCell ref="BB33:BB36"/>
    <mergeCell ref="R33:R36"/>
    <mergeCell ref="S33:S36"/>
    <mergeCell ref="T33:T36"/>
    <mergeCell ref="AF30:AF31"/>
    <mergeCell ref="AG30:AG31"/>
    <mergeCell ref="AL30:AL31"/>
    <mergeCell ref="AM30:AM31"/>
    <mergeCell ref="AP30:AP31"/>
    <mergeCell ref="AQ30:AQ31"/>
    <mergeCell ref="AA33:AA36"/>
    <mergeCell ref="AB33:AB36"/>
    <mergeCell ref="AC33:AC36"/>
    <mergeCell ref="U33:U36"/>
    <mergeCell ref="V33:V36"/>
    <mergeCell ref="W33:W36"/>
    <mergeCell ref="X33:X36"/>
    <mergeCell ref="Y33:Y36"/>
    <mergeCell ref="Z33:Z36"/>
    <mergeCell ref="AX30:AX31"/>
    <mergeCell ref="AY30:AY31"/>
    <mergeCell ref="V30:V31"/>
    <mergeCell ref="W30:W31"/>
    <mergeCell ref="X30:X31"/>
    <mergeCell ref="Y30:Y31"/>
    <mergeCell ref="Z30:Z31"/>
    <mergeCell ref="AA30:AA31"/>
    <mergeCell ref="AB30:AB31"/>
    <mergeCell ref="AC30:AC31"/>
    <mergeCell ref="AE30:AE31"/>
    <mergeCell ref="K30:K31"/>
    <mergeCell ref="L30:L31"/>
    <mergeCell ref="M30:M31"/>
    <mergeCell ref="N30:N31"/>
    <mergeCell ref="O30:O31"/>
    <mergeCell ref="P30:P31"/>
    <mergeCell ref="Q30:Q31"/>
    <mergeCell ref="R30:R31"/>
    <mergeCell ref="T30:T31"/>
    <mergeCell ref="B30:B31"/>
    <mergeCell ref="C30:C31"/>
    <mergeCell ref="D30:D31"/>
    <mergeCell ref="E30:E31"/>
    <mergeCell ref="F30:F31"/>
    <mergeCell ref="G30:G31"/>
    <mergeCell ref="H30:H31"/>
    <mergeCell ref="I30:I31"/>
    <mergeCell ref="J30:J31"/>
    <mergeCell ref="A24:A25"/>
    <mergeCell ref="AQ22:AQ23"/>
    <mergeCell ref="A22:A23"/>
    <mergeCell ref="C24:C25"/>
    <mergeCell ref="B24:B25"/>
    <mergeCell ref="D24:D25"/>
    <mergeCell ref="E24:E25"/>
    <mergeCell ref="F24:F25"/>
    <mergeCell ref="G24:G25"/>
    <mergeCell ref="H24:H25"/>
    <mergeCell ref="I24:I25"/>
    <mergeCell ref="J24:J25"/>
    <mergeCell ref="K24:K25"/>
    <mergeCell ref="L24:L25"/>
    <mergeCell ref="AA22:AA23"/>
    <mergeCell ref="AB22:AB23"/>
    <mergeCell ref="AC22:AC23"/>
    <mergeCell ref="AE22:AE23"/>
    <mergeCell ref="AG22:AG23"/>
    <mergeCell ref="AF22:AF23"/>
    <mergeCell ref="AM22:AM23"/>
    <mergeCell ref="AL22:AL23"/>
    <mergeCell ref="AP22:AP23"/>
    <mergeCell ref="BB20:BB21"/>
    <mergeCell ref="L22:L23"/>
    <mergeCell ref="B22:B23"/>
    <mergeCell ref="C22:C23"/>
    <mergeCell ref="D22:D23"/>
    <mergeCell ref="E22:E23"/>
    <mergeCell ref="F22:F23"/>
    <mergeCell ref="G22:G23"/>
    <mergeCell ref="H22:H23"/>
    <mergeCell ref="I22:I23"/>
    <mergeCell ref="J22:J23"/>
    <mergeCell ref="K22:K23"/>
    <mergeCell ref="M22:M23"/>
    <mergeCell ref="N22:N23"/>
    <mergeCell ref="O22:O23"/>
    <mergeCell ref="P22:P23"/>
    <mergeCell ref="Q22:Q23"/>
    <mergeCell ref="R22:R23"/>
    <mergeCell ref="T22:T23"/>
    <mergeCell ref="W22:W23"/>
    <mergeCell ref="V22:V23"/>
    <mergeCell ref="X22:X23"/>
    <mergeCell ref="Y22:Y23"/>
    <mergeCell ref="Z22:Z23"/>
    <mergeCell ref="AM20:AM21"/>
    <mergeCell ref="AN20:AN21"/>
    <mergeCell ref="AO20:AO21"/>
    <mergeCell ref="AP20:AP21"/>
    <mergeCell ref="AQ20:AQ21"/>
    <mergeCell ref="AX20:AX21"/>
    <mergeCell ref="AY20:AY21"/>
    <mergeCell ref="AZ20:AZ21"/>
    <mergeCell ref="BA20:BA21"/>
    <mergeCell ref="S20:S21"/>
    <mergeCell ref="T20:T21"/>
    <mergeCell ref="U20:U21"/>
    <mergeCell ref="V20:V21"/>
    <mergeCell ref="W20:W21"/>
    <mergeCell ref="AH20:AH21"/>
    <mergeCell ref="AJ20:AJ21"/>
    <mergeCell ref="AK20:AK21"/>
    <mergeCell ref="J20:J21"/>
    <mergeCell ref="K20:K21"/>
    <mergeCell ref="L20:L21"/>
    <mergeCell ref="M20:M21"/>
    <mergeCell ref="N20:N21"/>
    <mergeCell ref="O20:O21"/>
    <mergeCell ref="P20:P21"/>
    <mergeCell ref="Q20:Q21"/>
    <mergeCell ref="R20:R21"/>
    <mergeCell ref="A20:A21"/>
    <mergeCell ref="B20:B21"/>
    <mergeCell ref="C20:C21"/>
    <mergeCell ref="D20:D21"/>
    <mergeCell ref="E20:E21"/>
    <mergeCell ref="F20:F21"/>
    <mergeCell ref="G20:G21"/>
    <mergeCell ref="H20:H21"/>
    <mergeCell ref="I20:I21"/>
    <mergeCell ref="AT18:AT19"/>
    <mergeCell ref="AU18:AU19"/>
    <mergeCell ref="AV18:AV19"/>
    <mergeCell ref="AW18:AW19"/>
    <mergeCell ref="AX18:AX19"/>
    <mergeCell ref="AY18:AY19"/>
    <mergeCell ref="AZ18:AZ19"/>
    <mergeCell ref="BA18:BA19"/>
    <mergeCell ref="BB18:BB19"/>
    <mergeCell ref="S18:S19"/>
    <mergeCell ref="T18:T19"/>
    <mergeCell ref="U18:U19"/>
    <mergeCell ref="V18:V19"/>
    <mergeCell ref="W18:W19"/>
    <mergeCell ref="AP18:AP19"/>
    <mergeCell ref="AQ18:AQ19"/>
    <mergeCell ref="AR18:AR19"/>
    <mergeCell ref="AS18:AS19"/>
    <mergeCell ref="J18:J19"/>
    <mergeCell ref="K18:K19"/>
    <mergeCell ref="L18:L19"/>
    <mergeCell ref="M18:M19"/>
    <mergeCell ref="N18:N19"/>
    <mergeCell ref="O18:O19"/>
    <mergeCell ref="P18:P19"/>
    <mergeCell ref="Q18:Q19"/>
    <mergeCell ref="R18:R19"/>
    <mergeCell ref="A18:A19"/>
    <mergeCell ref="B18:B19"/>
    <mergeCell ref="C18:C19"/>
    <mergeCell ref="D18:D19"/>
    <mergeCell ref="E18:E19"/>
    <mergeCell ref="F18:F19"/>
    <mergeCell ref="G18:G19"/>
    <mergeCell ref="H18:H19"/>
    <mergeCell ref="I18:I19"/>
    <mergeCell ref="AX15:AX16"/>
    <mergeCell ref="AY15:AY16"/>
    <mergeCell ref="AZ15:AZ16"/>
    <mergeCell ref="BA15:BA16"/>
    <mergeCell ref="BB15:BB16"/>
    <mergeCell ref="S15:S16"/>
    <mergeCell ref="T15:T16"/>
    <mergeCell ref="U15:U16"/>
    <mergeCell ref="V15:V16"/>
    <mergeCell ref="W15:W16"/>
    <mergeCell ref="A15:A16"/>
    <mergeCell ref="B15:B16"/>
    <mergeCell ref="C15:C16"/>
    <mergeCell ref="D15:D16"/>
    <mergeCell ref="E15:E16"/>
    <mergeCell ref="A12:A14"/>
    <mergeCell ref="W12:W14"/>
    <mergeCell ref="AH12:AH14"/>
    <mergeCell ref="AJ12:AJ14"/>
    <mergeCell ref="U12:U14"/>
    <mergeCell ref="V12:V14"/>
    <mergeCell ref="L15:L17"/>
    <mergeCell ref="J15:J17"/>
    <mergeCell ref="K15:K17"/>
    <mergeCell ref="M15:M16"/>
    <mergeCell ref="O15:O16"/>
    <mergeCell ref="R15:R16"/>
    <mergeCell ref="F15:F16"/>
    <mergeCell ref="G15:G16"/>
    <mergeCell ref="H15:H16"/>
    <mergeCell ref="I15:I16"/>
    <mergeCell ref="BA12:BA14"/>
    <mergeCell ref="B12:B14"/>
    <mergeCell ref="C12:C14"/>
    <mergeCell ref="D12:D14"/>
    <mergeCell ref="E12:E14"/>
    <mergeCell ref="F12:F14"/>
    <mergeCell ref="BB12:BB14"/>
    <mergeCell ref="AZ12:AZ14"/>
    <mergeCell ref="AX12:AX14"/>
    <mergeCell ref="AY12:AY14"/>
    <mergeCell ref="G12:G14"/>
    <mergeCell ref="H12:H14"/>
    <mergeCell ref="I12:I14"/>
    <mergeCell ref="J12:J14"/>
    <mergeCell ref="K12:K14"/>
    <mergeCell ref="L12:L14"/>
    <mergeCell ref="M12:M14"/>
    <mergeCell ref="N12:N14"/>
    <mergeCell ref="O12:O14"/>
    <mergeCell ref="P12:P14"/>
    <mergeCell ref="Q12:Q14"/>
    <mergeCell ref="R12:R14"/>
    <mergeCell ref="S12:S14"/>
    <mergeCell ref="T12:T14"/>
    <mergeCell ref="X4:AB4"/>
    <mergeCell ref="A5:AP5"/>
    <mergeCell ref="AH6:AP8"/>
    <mergeCell ref="C1:L1"/>
    <mergeCell ref="C2:L3"/>
    <mergeCell ref="X6:AG8"/>
    <mergeCell ref="R6:W8"/>
    <mergeCell ref="A6:Q8"/>
    <mergeCell ref="A9:A10"/>
    <mergeCell ref="B9:B10"/>
    <mergeCell ref="C9:C10"/>
    <mergeCell ref="D9:D10"/>
    <mergeCell ref="E9:E10"/>
    <mergeCell ref="O9:O10"/>
    <mergeCell ref="S9:S10"/>
    <mergeCell ref="U9:U11"/>
    <mergeCell ref="AM9:AM10"/>
    <mergeCell ref="Q9:Q10"/>
    <mergeCell ref="P9:P10"/>
    <mergeCell ref="Y9:AG9"/>
    <mergeCell ref="M9:N9"/>
    <mergeCell ref="R9:R10"/>
    <mergeCell ref="T9:T10"/>
    <mergeCell ref="V9:V10"/>
    <mergeCell ref="BB9:BB11"/>
    <mergeCell ref="AQ9:AW9"/>
    <mergeCell ref="I9:I10"/>
    <mergeCell ref="J9:J10"/>
    <mergeCell ref="K9:K10"/>
    <mergeCell ref="L9:L10"/>
    <mergeCell ref="AX10:AX11"/>
    <mergeCell ref="AV10:AV11"/>
    <mergeCell ref="AW10:AW11"/>
    <mergeCell ref="AX9:BA9"/>
    <mergeCell ref="F9:F10"/>
    <mergeCell ref="AS10:AS11"/>
    <mergeCell ref="AT10:AT11"/>
    <mergeCell ref="AH9:AH10"/>
    <mergeCell ref="AJ9:AJ10"/>
    <mergeCell ref="AP9:AP10"/>
    <mergeCell ref="AI9:AI10"/>
    <mergeCell ref="AK9:AK10"/>
    <mergeCell ref="AL9:AL10"/>
    <mergeCell ref="AN9:AN10"/>
    <mergeCell ref="AQ10:AQ11"/>
    <mergeCell ref="AR10:AR11"/>
    <mergeCell ref="AO9:AO10"/>
    <mergeCell ref="W9:W10"/>
    <mergeCell ref="X9:X10"/>
    <mergeCell ref="G9:G10"/>
    <mergeCell ref="H9:H10"/>
    <mergeCell ref="Q27:Q28"/>
    <mergeCell ref="R27:R28"/>
    <mergeCell ref="T27:T28"/>
    <mergeCell ref="V27:V28"/>
    <mergeCell ref="W27:W28"/>
    <mergeCell ref="B27:B28"/>
    <mergeCell ref="C27:C28"/>
    <mergeCell ref="D27:D28"/>
    <mergeCell ref="E27:E28"/>
    <mergeCell ref="F27:F28"/>
    <mergeCell ref="G27:G28"/>
    <mergeCell ref="H27:H28"/>
    <mergeCell ref="I27:I28"/>
    <mergeCell ref="J27:J28"/>
    <mergeCell ref="O27:O28"/>
    <mergeCell ref="AV27:AV28"/>
    <mergeCell ref="AW27:AW28"/>
    <mergeCell ref="A27:A28"/>
    <mergeCell ref="AG27:AG28"/>
    <mergeCell ref="AL27:AL28"/>
    <mergeCell ref="AM27:AM28"/>
    <mergeCell ref="AP27:AP28"/>
    <mergeCell ref="AQ27:AQ28"/>
    <mergeCell ref="AR27:AR28"/>
    <mergeCell ref="AS27:AS28"/>
    <mergeCell ref="AT27:AT28"/>
    <mergeCell ref="AU27:AU28"/>
    <mergeCell ref="X27:X28"/>
    <mergeCell ref="Y27:Y28"/>
    <mergeCell ref="Z27:Z28"/>
    <mergeCell ref="AA27:AA28"/>
    <mergeCell ref="AB27:AB28"/>
    <mergeCell ref="AC27:AC28"/>
    <mergeCell ref="AE27:AE28"/>
    <mergeCell ref="AF27:AF28"/>
    <mergeCell ref="K27:K28"/>
    <mergeCell ref="L27:L28"/>
    <mergeCell ref="N27:N28"/>
    <mergeCell ref="P27:P28"/>
  </mergeCells>
  <phoneticPr fontId="34" type="noConversion"/>
  <dataValidations xWindow="277" yWindow="1063" count="2">
    <dataValidation allowBlank="1" showInputMessage="1" showErrorMessage="1" sqref="V12 V17:V18 V15 V20 V33" xr:uid="{00000000-0002-0000-0000-000000000000}"/>
    <dataValidation allowBlank="1" showErrorMessage="1" promptTitle="Lista desplegable" prompt="Seleccione una Opción" sqref="B9:B10" xr:uid="{00000000-0002-0000-0000-000001000000}"/>
  </dataValidations>
  <pageMargins left="0.70866141732283472" right="0.70866141732283472" top="0.98425196850393704" bottom="0.74803149606299213" header="0.19685039370078741" footer="0.31496062992125984"/>
  <pageSetup scale="10" orientation="landscape" r:id="rId1"/>
  <headerFooter>
    <oddHeader>&amp;L&amp;G&amp;C
MATRIZ DE IDENTIFICACIÓN Y SEGUIMIENTO A LOS 
RIESGOS INSTITUCIONALES&amp;R]</oddHeader>
    <oddFooter>&amp;R&amp;G
&amp;9SG-FM-043.V6</oddFooter>
  </headerFooter>
  <rowBreaks count="1" manualBreakCount="1">
    <brk id="56" max="62" man="1"/>
  </rowBreaks>
  <drawing r:id="rId2"/>
  <legacyDrawing r:id="rId3"/>
  <legacyDrawingHF r:id="rId4"/>
  <extLst>
    <ext xmlns:x14="http://schemas.microsoft.com/office/spreadsheetml/2009/9/main" uri="{CCE6A557-97BC-4b89-ADB6-D9C93CAAB3DF}">
      <x14:dataValidations xmlns:xm="http://schemas.microsoft.com/office/excel/2006/main" xWindow="277" yWindow="1063" count="18">
        <x14:dataValidation type="list" allowBlank="1" showInputMessage="1" showErrorMessage="1" promptTitle="Lista desplegable" prompt="Seleccione una Opción" xr:uid="{00000000-0002-0000-0000-000002000000}">
          <x14:formula1>
            <xm:f>Campos!$D$12:$D$16</xm:f>
          </x14:formula1>
          <xm:sqref>B12</xm:sqref>
        </x14:dataValidation>
        <x14:dataValidation type="list" allowBlank="1" showInputMessage="1" showErrorMessage="1" promptTitle="Lista desplegable" prompt="Seleccione una Opción" xr:uid="{00000000-0002-0000-0000-000004000000}">
          <x14:formula1>
            <xm:f>Campos!$D$51:$D$57</xm:f>
          </x14:formula1>
          <xm:sqref>I12</xm:sqref>
        </x14:dataValidation>
        <x14:dataValidation type="list" allowBlank="1" showInputMessage="1" showErrorMessage="1" promptTitle="Lista desplegable" prompt="Seleccione una Opción" xr:uid="{00000000-0002-0000-0000-000005000000}">
          <x14:formula1>
            <xm:f>Campos!$D$43:$D$47</xm:f>
          </x14:formula1>
          <xm:sqref>P12</xm:sqref>
        </x14:dataValidation>
        <x14:dataValidation type="list" allowBlank="1" showInputMessage="1" showErrorMessage="1" xr:uid="{00000000-0002-0000-0000-000006000000}">
          <x14:formula1>
            <xm:f>Campos!$S$13:$S$17</xm:f>
          </x14:formula1>
          <xm:sqref>R12</xm:sqref>
        </x14:dataValidation>
        <x14:dataValidation type="list" allowBlank="1" showInputMessage="1" showErrorMessage="1" xr:uid="{00000000-0002-0000-0000-000007000000}">
          <x14:formula1>
            <xm:f>Campos!$T$13:$T$17</xm:f>
          </x14:formula1>
          <xm:sqref>T12</xm:sqref>
        </x14:dataValidation>
        <x14:dataValidation type="list" allowBlank="1" showInputMessage="1" showErrorMessage="1" promptTitle="Lista desplegable" prompt="Seleccione una Opción" xr:uid="{00000000-0002-0000-0000-000008000000}">
          <x14:formula1>
            <xm:f>Campos!$D$61:$D$63</xm:f>
          </x14:formula1>
          <xm:sqref>Y12:Y14</xm:sqref>
        </x14:dataValidation>
        <x14:dataValidation type="list" allowBlank="1" showInputMessage="1" showErrorMessage="1" promptTitle="Lista desplegable" prompt="Seleccione una Opción" xr:uid="{00000000-0002-0000-0000-000009000000}">
          <x14:formula1>
            <xm:f>Campos!$D$66:$D$67</xm:f>
          </x14:formula1>
          <xm:sqref>AA12:AA14</xm:sqref>
        </x14:dataValidation>
        <x14:dataValidation type="list" allowBlank="1" showInputMessage="1" showErrorMessage="1" promptTitle="Lista desplegable" prompt="Seleccione una Opción" xr:uid="{00000000-0002-0000-0000-00000A000000}">
          <x14:formula1>
            <xm:f>Campos!$D$70:$D$71</xm:f>
          </x14:formula1>
          <xm:sqref>AE12:AE14</xm:sqref>
        </x14:dataValidation>
        <x14:dataValidation type="list" allowBlank="1" showInputMessage="1" showErrorMessage="1" promptTitle="Lista desplegable" prompt="Seleccione una Opción" xr:uid="{00000000-0002-0000-0000-00000B000000}">
          <x14:formula1>
            <xm:f>Campos!$D$74:$D$75</xm:f>
          </x14:formula1>
          <xm:sqref>AF12:AF14</xm:sqref>
        </x14:dataValidation>
        <x14:dataValidation type="list" allowBlank="1" showInputMessage="1" showErrorMessage="1" xr:uid="{00000000-0002-0000-0000-00000C000000}">
          <x14:formula1>
            <xm:f>Campos!$D$78:$D$79</xm:f>
          </x14:formula1>
          <xm:sqref>AG12:AG14</xm:sqref>
        </x14:dataValidation>
        <x14:dataValidation type="list" allowBlank="1" showInputMessage="1" showErrorMessage="1" xr:uid="{00000000-0002-0000-0000-00000D000000}">
          <x14:formula1>
            <xm:f>Campos!$S$25:$S$29</xm:f>
          </x14:formula1>
          <xm:sqref>AH12</xm:sqref>
        </x14:dataValidation>
        <x14:dataValidation type="list" allowBlank="1" showInputMessage="1" showErrorMessage="1" xr:uid="{00000000-0002-0000-0000-00000E000000}">
          <x14:formula1>
            <xm:f>Campos!$N$13:$N$17</xm:f>
          </x14:formula1>
          <xm:sqref>AP12:AP14</xm:sqref>
        </x14:dataValidation>
        <x14:dataValidation type="list" allowBlank="1" showInputMessage="1" showErrorMessage="1" xr:uid="{00000000-0002-0000-0000-00000F000000}">
          <x14:formula1>
            <xm:f>Campos!$D$99:$D$104</xm:f>
          </x14:formula1>
          <xm:sqref>AU12:AU14</xm:sqref>
        </x14:dataValidation>
        <x14:dataValidation type="list" allowBlank="1" showInputMessage="1" showErrorMessage="1" promptTitle="Lista desplegable" prompt="Seleccione una Opción" xr:uid="{00000000-0002-0000-0000-000011000000}">
          <x14:formula1>
            <xm:f>Campos!$D$20:$D$31</xm:f>
          </x14:formula1>
          <xm:sqref>D12:E12</xm:sqref>
        </x14:dataValidation>
        <x14:dataValidation type="list" allowBlank="1" showInputMessage="1" showErrorMessage="1" xr:uid="{00000000-0002-0000-0000-000012000000}">
          <x14:formula1>
            <xm:f>Campos!$S$34:$S$38</xm:f>
          </x14:formula1>
          <xm:sqref>AJ12</xm:sqref>
        </x14:dataValidation>
        <x14:dataValidation type="list" allowBlank="1" showInputMessage="1" showErrorMessage="1" promptTitle="Lista desplegable" prompt="Seleccione una Opción_x000a_" xr:uid="{AD49FCBD-2336-4177-AEE0-B37700EA553D}">
          <x14:formula1>
            <xm:f>Campos!$D$108:$D$110</xm:f>
          </x14:formula1>
          <xm:sqref>H12:H14</xm:sqref>
        </x14:dataValidation>
        <x14:dataValidation type="list" allowBlank="1" showInputMessage="1" showErrorMessage="1" xr:uid="{967ACB50-87AB-4819-B26A-01D8B7021203}">
          <x14:formula1>
            <xm:f>'C:\Users\USUARIO\AppData\Local\Microsoft\Windows\INetCache\Content.Outlook\VQY6FXBF\[MATRIZ DE CAPTURA ANALISIS DE RIESGOS DE GESTION 19_01_2024.xlsx]Campos'!#REF!</xm:f>
          </x14:formula1>
          <xm:sqref>AJ37:AJ39 AG37:AH39 AP37:AP39 AU37:AU39</xm:sqref>
        </x14:dataValidation>
        <x14:dataValidation type="list" allowBlank="1" showInputMessage="1" showErrorMessage="1" promptTitle="Lista desplegable" prompt="Seleccione una Opción" xr:uid="{0C00D6DD-0903-4100-9F4B-4AFE193C4ACD}">
          <x14:formula1>
            <xm:f>'C:\Users\USUARIO\AppData\Local\Microsoft\Windows\INetCache\Content.Outlook\VQY6FXBF\[MATRIZ DE CAPTURA ANALISIS DE RIESGOS DE GESTION 19_01_2024.xlsx]Campos'!#REF!</xm:f>
          </x14:formula1>
          <xm:sqref>Y37:Y39 AA37:AA39 AE37:AF39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747BC-226B-4101-AB65-3233960F47E9}">
  <sheetPr>
    <tabColor rgb="FFFF0000"/>
  </sheetPr>
  <dimension ref="A1:BK43"/>
  <sheetViews>
    <sheetView showGridLines="0" showRuler="0" showWhiteSpace="0" topLeftCell="B1" zoomScale="40" zoomScaleNormal="40" zoomScaleSheetLayoutView="10" workbookViewId="0">
      <pane ySplit="11" topLeftCell="A12" activePane="bottomLeft" state="frozen"/>
      <selection pane="bottomLeft" activeCell="B1" sqref="B1"/>
    </sheetView>
  </sheetViews>
  <sheetFormatPr baseColWidth="10" defaultColWidth="11.4140625" defaultRowHeight="15.5"/>
  <cols>
    <col min="1" max="2" width="13.9140625" style="177" customWidth="1"/>
    <col min="3" max="3" width="19.83203125" style="177" customWidth="1"/>
    <col min="4" max="4" width="17.4140625" style="177" customWidth="1"/>
    <col min="5" max="5" width="24.25" style="177" customWidth="1"/>
    <col min="6" max="6" width="47.75" style="177" customWidth="1"/>
    <col min="7" max="7" width="56.5" style="177" customWidth="1"/>
    <col min="8" max="8" width="13.9140625" style="177" customWidth="1"/>
    <col min="9" max="9" width="21.1640625" style="177" customWidth="1"/>
    <col min="10" max="10" width="17.75" style="177" customWidth="1"/>
    <col min="11" max="12" width="13.9140625" style="177" customWidth="1"/>
    <col min="13" max="13" width="26.25" style="177" customWidth="1"/>
    <col min="14" max="14" width="28.9140625" style="177" customWidth="1"/>
    <col min="15" max="16" width="13.9140625" style="177" customWidth="1"/>
    <col min="17" max="17" width="32.9140625" style="177" customWidth="1"/>
    <col min="18" max="23" width="13.9140625" style="177" customWidth="1"/>
    <col min="24" max="24" width="65" style="177" customWidth="1"/>
    <col min="25" max="30" width="13.9140625" style="177" customWidth="1"/>
    <col min="31" max="31" width="20" style="177" customWidth="1"/>
    <col min="32" max="49" width="13.9140625" style="177" customWidth="1"/>
    <col min="50" max="50" width="42.6640625" style="177" customWidth="1"/>
    <col min="51" max="51" width="42.08203125" style="177" customWidth="1"/>
    <col min="52" max="52" width="25" style="177" customWidth="1"/>
    <col min="53" max="53" width="25.25" style="177" customWidth="1"/>
    <col min="54" max="54" width="22.33203125" style="177" customWidth="1"/>
    <col min="55" max="16384" width="11.4140625" style="11"/>
  </cols>
  <sheetData>
    <row r="1" spans="1:63" customFormat="1" ht="26.25" customHeight="1">
      <c r="A1" s="240"/>
      <c r="B1" s="241"/>
      <c r="C1" s="444" t="s">
        <v>166</v>
      </c>
      <c r="D1" s="444"/>
      <c r="E1" s="444"/>
      <c r="F1" s="444"/>
      <c r="G1" s="444"/>
      <c r="H1" s="444"/>
      <c r="I1" s="444"/>
      <c r="J1" s="444"/>
      <c r="K1" s="444"/>
      <c r="L1" s="444"/>
      <c r="M1" s="2" t="s">
        <v>0</v>
      </c>
      <c r="N1" s="242" t="s">
        <v>173</v>
      </c>
      <c r="O1" s="243"/>
      <c r="P1" s="243"/>
      <c r="Q1" s="243"/>
      <c r="R1" s="243"/>
      <c r="S1" s="243"/>
      <c r="T1" s="243"/>
      <c r="U1" s="243"/>
      <c r="V1" s="243"/>
      <c r="W1" s="243"/>
      <c r="X1" s="243"/>
      <c r="Y1" s="243"/>
      <c r="Z1" s="243"/>
      <c r="AA1" s="243"/>
      <c r="AB1" s="243"/>
      <c r="AC1" s="243"/>
      <c r="AD1" s="243"/>
      <c r="AE1" s="243"/>
      <c r="AF1" s="243"/>
      <c r="AG1" s="243"/>
      <c r="AH1" s="244"/>
      <c r="AI1" s="244"/>
      <c r="AJ1" s="244"/>
      <c r="AK1" s="244"/>
      <c r="AL1" s="244"/>
      <c r="AM1" s="244"/>
      <c r="AN1" s="244"/>
      <c r="AO1" s="244"/>
      <c r="AP1" s="244"/>
      <c r="AQ1" s="244"/>
      <c r="AR1" s="244"/>
      <c r="AS1" s="244"/>
      <c r="AT1" s="244"/>
      <c r="AU1" s="244"/>
      <c r="AV1" s="244"/>
      <c r="AW1" s="244"/>
      <c r="AX1" s="244"/>
      <c r="AY1" s="244"/>
      <c r="AZ1" s="244"/>
      <c r="BA1" s="244"/>
      <c r="BB1" s="244"/>
    </row>
    <row r="2" spans="1:63" customFormat="1" ht="22.5" customHeight="1">
      <c r="A2" s="245"/>
      <c r="B2" s="246"/>
      <c r="C2" s="444" t="s">
        <v>172</v>
      </c>
      <c r="D2" s="444"/>
      <c r="E2" s="444"/>
      <c r="F2" s="444"/>
      <c r="G2" s="444"/>
      <c r="H2" s="444"/>
      <c r="I2" s="444"/>
      <c r="J2" s="444"/>
      <c r="K2" s="444"/>
      <c r="L2" s="444"/>
      <c r="M2" s="2" t="s">
        <v>1</v>
      </c>
      <c r="N2" s="247">
        <v>1</v>
      </c>
      <c r="O2" s="243"/>
      <c r="P2" s="243"/>
      <c r="Q2" s="243"/>
      <c r="R2" s="243"/>
      <c r="S2" s="243"/>
      <c r="T2" s="243"/>
      <c r="U2" s="243"/>
      <c r="V2" s="243"/>
      <c r="W2" s="243"/>
      <c r="X2" s="243"/>
      <c r="Y2" s="243"/>
      <c r="Z2" s="243"/>
      <c r="AA2" s="243"/>
      <c r="AB2" s="243"/>
      <c r="AC2" s="243"/>
      <c r="AD2" s="243"/>
      <c r="AE2" s="243"/>
      <c r="AF2" s="243"/>
      <c r="AG2" s="243"/>
      <c r="AH2" s="244"/>
      <c r="AI2" s="244"/>
      <c r="AJ2" s="244"/>
      <c r="AK2" s="244"/>
      <c r="AL2" s="244"/>
      <c r="AM2" s="244"/>
      <c r="AN2" s="244"/>
      <c r="AO2" s="244"/>
      <c r="AP2" s="244"/>
      <c r="AQ2" s="244"/>
      <c r="AR2" s="244"/>
      <c r="AS2" s="244"/>
      <c r="AT2" s="244"/>
      <c r="AU2" s="244"/>
      <c r="AV2" s="244"/>
      <c r="AW2" s="244"/>
      <c r="AX2" s="244"/>
      <c r="AY2" s="244"/>
      <c r="AZ2" s="244"/>
      <c r="BA2" s="244"/>
      <c r="BB2" s="244"/>
    </row>
    <row r="3" spans="1:63" customFormat="1" ht="22.5" customHeight="1">
      <c r="A3" s="248"/>
      <c r="B3" s="249"/>
      <c r="C3" s="444"/>
      <c r="D3" s="444"/>
      <c r="E3" s="444"/>
      <c r="F3" s="444"/>
      <c r="G3" s="444"/>
      <c r="H3" s="444"/>
      <c r="I3" s="444"/>
      <c r="J3" s="444"/>
      <c r="K3" s="444"/>
      <c r="L3" s="444"/>
      <c r="M3" s="2" t="s">
        <v>2</v>
      </c>
      <c r="N3" s="250">
        <v>45257</v>
      </c>
      <c r="O3" s="243"/>
      <c r="P3" s="243"/>
      <c r="Q3" s="243"/>
      <c r="R3" s="243"/>
      <c r="S3" s="243"/>
      <c r="T3" s="243"/>
      <c r="U3" s="243"/>
      <c r="V3" s="243"/>
      <c r="W3" s="243"/>
      <c r="X3" s="243"/>
      <c r="Y3" s="243"/>
      <c r="Z3" s="243"/>
      <c r="AA3" s="243"/>
      <c r="AB3" s="243"/>
      <c r="AC3" s="243"/>
      <c r="AD3" s="243"/>
      <c r="AE3" s="243"/>
      <c r="AF3" s="243"/>
      <c r="AG3" s="243"/>
      <c r="AH3" s="244"/>
      <c r="AI3" s="244"/>
      <c r="AJ3" s="244"/>
      <c r="AK3" s="244"/>
      <c r="AL3" s="244"/>
      <c r="AM3" s="244"/>
      <c r="AN3" s="244"/>
      <c r="AO3" s="244"/>
      <c r="AP3" s="244"/>
      <c r="AQ3" s="244"/>
      <c r="AR3" s="244"/>
      <c r="AS3" s="244"/>
      <c r="AT3" s="244"/>
      <c r="AU3" s="244"/>
      <c r="AV3" s="244"/>
      <c r="AW3" s="244"/>
      <c r="AX3" s="244"/>
      <c r="AY3" s="244"/>
      <c r="AZ3" s="244"/>
      <c r="BA3" s="244"/>
      <c r="BB3" s="244"/>
    </row>
    <row r="4" spans="1:63" s="8" customFormat="1" ht="49.5" customHeight="1">
      <c r="A4" s="52"/>
      <c r="B4" s="52"/>
      <c r="C4" s="52"/>
      <c r="D4" s="52"/>
      <c r="E4" s="52"/>
      <c r="F4" s="52"/>
      <c r="G4" s="52"/>
      <c r="H4" s="52"/>
      <c r="I4" s="52"/>
      <c r="J4" s="52"/>
      <c r="K4" s="52"/>
      <c r="L4" s="52"/>
      <c r="M4" s="52"/>
      <c r="N4" s="251"/>
      <c r="O4" s="52"/>
      <c r="P4" s="52"/>
      <c r="Q4" s="52"/>
      <c r="R4" s="52"/>
      <c r="S4" s="52"/>
      <c r="T4" s="52"/>
      <c r="U4" s="52"/>
      <c r="V4" s="52"/>
      <c r="W4" s="52"/>
      <c r="X4" s="570"/>
      <c r="Y4" s="570"/>
      <c r="Z4" s="570"/>
      <c r="AA4" s="570"/>
      <c r="AB4" s="570"/>
      <c r="AC4" s="252"/>
      <c r="AD4" s="252"/>
      <c r="AE4" s="252"/>
      <c r="AF4" s="252"/>
      <c r="AG4" s="252"/>
      <c r="AH4" s="52"/>
      <c r="AI4" s="52"/>
      <c r="AJ4" s="52"/>
      <c r="AK4" s="52"/>
      <c r="AL4" s="52"/>
      <c r="AM4" s="52"/>
      <c r="AN4" s="52"/>
      <c r="AO4" s="52"/>
      <c r="AP4" s="52"/>
      <c r="AQ4" s="52"/>
      <c r="AR4" s="52"/>
      <c r="AS4" s="52"/>
      <c r="AT4" s="52"/>
      <c r="AU4" s="52"/>
      <c r="AV4" s="52"/>
      <c r="AW4" s="52"/>
      <c r="AX4" s="52"/>
      <c r="AY4" s="52"/>
      <c r="AZ4" s="52"/>
      <c r="BA4" s="52"/>
      <c r="BB4" s="52"/>
    </row>
    <row r="5" spans="1:63" customFormat="1" ht="51" customHeight="1" thickBot="1">
      <c r="A5" s="571" t="s">
        <v>198</v>
      </c>
      <c r="B5" s="572"/>
      <c r="C5" s="572"/>
      <c r="D5" s="572"/>
      <c r="E5" s="572"/>
      <c r="F5" s="572"/>
      <c r="G5" s="572"/>
      <c r="H5" s="572"/>
      <c r="I5" s="572"/>
      <c r="J5" s="572"/>
      <c r="K5" s="572"/>
      <c r="L5" s="572"/>
      <c r="M5" s="572"/>
      <c r="N5" s="572"/>
      <c r="O5" s="572"/>
      <c r="P5" s="572"/>
      <c r="Q5" s="572"/>
      <c r="R5" s="572"/>
      <c r="S5" s="572"/>
      <c r="T5" s="572"/>
      <c r="U5" s="572"/>
      <c r="V5" s="572"/>
      <c r="W5" s="572"/>
      <c r="X5" s="572"/>
      <c r="Y5" s="572"/>
      <c r="Z5" s="572"/>
      <c r="AA5" s="572"/>
      <c r="AB5" s="572"/>
      <c r="AC5" s="572"/>
      <c r="AD5" s="572"/>
      <c r="AE5" s="572"/>
      <c r="AF5" s="572"/>
      <c r="AG5" s="572"/>
      <c r="AH5" s="572"/>
      <c r="AI5" s="572"/>
      <c r="AJ5" s="572"/>
      <c r="AK5" s="572"/>
      <c r="AL5" s="572"/>
      <c r="AM5" s="572"/>
      <c r="AN5" s="572"/>
      <c r="AO5" s="572"/>
      <c r="AP5" s="572"/>
      <c r="AQ5" s="243"/>
      <c r="AR5" s="243"/>
      <c r="AS5" s="243"/>
      <c r="AT5" s="243"/>
      <c r="AU5" s="243"/>
      <c r="AV5" s="243"/>
      <c r="AW5" s="243"/>
      <c r="AX5" s="243"/>
      <c r="AY5" s="243"/>
      <c r="AZ5" s="243"/>
      <c r="BA5" s="243"/>
      <c r="BB5" s="243"/>
      <c r="BC5" s="4"/>
      <c r="BD5" s="4"/>
      <c r="BE5" s="4"/>
      <c r="BF5" s="4"/>
      <c r="BG5" s="4"/>
      <c r="BH5" s="4"/>
      <c r="BI5" s="4"/>
      <c r="BJ5" s="4"/>
      <c r="BK5" s="4"/>
    </row>
    <row r="6" spans="1:63" s="9" customFormat="1" ht="12.75" customHeight="1">
      <c r="A6" s="454" t="s">
        <v>167</v>
      </c>
      <c r="B6" s="446"/>
      <c r="C6" s="446"/>
      <c r="D6" s="446"/>
      <c r="E6" s="446"/>
      <c r="F6" s="446"/>
      <c r="G6" s="446"/>
      <c r="H6" s="446"/>
      <c r="I6" s="446"/>
      <c r="J6" s="446"/>
      <c r="K6" s="446"/>
      <c r="L6" s="446"/>
      <c r="M6" s="446"/>
      <c r="N6" s="446"/>
      <c r="O6" s="446"/>
      <c r="P6" s="446"/>
      <c r="Q6" s="447"/>
      <c r="R6" s="445" t="s">
        <v>168</v>
      </c>
      <c r="S6" s="446"/>
      <c r="T6" s="446"/>
      <c r="U6" s="446"/>
      <c r="V6" s="446"/>
      <c r="W6" s="447"/>
      <c r="X6" s="445" t="s">
        <v>3</v>
      </c>
      <c r="Y6" s="446"/>
      <c r="Z6" s="446"/>
      <c r="AA6" s="446"/>
      <c r="AB6" s="446"/>
      <c r="AC6" s="446"/>
      <c r="AD6" s="446"/>
      <c r="AE6" s="446"/>
      <c r="AF6" s="446"/>
      <c r="AG6" s="447"/>
      <c r="AH6" s="440" t="s">
        <v>169</v>
      </c>
      <c r="AI6" s="440"/>
      <c r="AJ6" s="440"/>
      <c r="AK6" s="440"/>
      <c r="AL6" s="440"/>
      <c r="AM6" s="440"/>
      <c r="AN6" s="440"/>
      <c r="AO6" s="440"/>
      <c r="AP6" s="441"/>
      <c r="AQ6" s="158"/>
      <c r="AR6" s="177"/>
      <c r="AS6" s="177"/>
      <c r="AT6" s="177"/>
      <c r="AU6" s="177"/>
      <c r="AV6" s="177"/>
      <c r="AW6" s="177"/>
      <c r="AX6" s="177"/>
      <c r="AY6" s="177"/>
      <c r="AZ6" s="177"/>
      <c r="BA6" s="177"/>
      <c r="BB6" s="177"/>
    </row>
    <row r="7" spans="1:63" ht="15.75" customHeight="1">
      <c r="A7" s="455"/>
      <c r="B7" s="449"/>
      <c r="C7" s="449"/>
      <c r="D7" s="449"/>
      <c r="E7" s="449"/>
      <c r="F7" s="449"/>
      <c r="G7" s="449"/>
      <c r="H7" s="449"/>
      <c r="I7" s="449"/>
      <c r="J7" s="449"/>
      <c r="K7" s="449"/>
      <c r="L7" s="449"/>
      <c r="M7" s="449"/>
      <c r="N7" s="449"/>
      <c r="O7" s="449"/>
      <c r="P7" s="449"/>
      <c r="Q7" s="450"/>
      <c r="R7" s="448"/>
      <c r="S7" s="449"/>
      <c r="T7" s="449"/>
      <c r="U7" s="449"/>
      <c r="V7" s="449"/>
      <c r="W7" s="450"/>
      <c r="X7" s="448"/>
      <c r="Y7" s="449"/>
      <c r="Z7" s="449"/>
      <c r="AA7" s="449"/>
      <c r="AB7" s="449"/>
      <c r="AC7" s="449"/>
      <c r="AD7" s="449"/>
      <c r="AE7" s="449"/>
      <c r="AF7" s="449"/>
      <c r="AG7" s="450"/>
      <c r="AH7" s="442"/>
      <c r="AI7" s="442"/>
      <c r="AJ7" s="442"/>
      <c r="AK7" s="442"/>
      <c r="AL7" s="442"/>
      <c r="AM7" s="442"/>
      <c r="AN7" s="442"/>
      <c r="AO7" s="442"/>
      <c r="AP7" s="443"/>
      <c r="AQ7" s="158"/>
    </row>
    <row r="8" spans="1:63" ht="29.25" customHeight="1" thickBot="1">
      <c r="A8" s="555"/>
      <c r="B8" s="553"/>
      <c r="C8" s="553"/>
      <c r="D8" s="553"/>
      <c r="E8" s="553"/>
      <c r="F8" s="553"/>
      <c r="G8" s="553"/>
      <c r="H8" s="553"/>
      <c r="I8" s="553"/>
      <c r="J8" s="553"/>
      <c r="K8" s="553"/>
      <c r="L8" s="553"/>
      <c r="M8" s="553"/>
      <c r="N8" s="553"/>
      <c r="O8" s="553"/>
      <c r="P8" s="553"/>
      <c r="Q8" s="554"/>
      <c r="R8" s="552"/>
      <c r="S8" s="553"/>
      <c r="T8" s="553"/>
      <c r="U8" s="553"/>
      <c r="V8" s="553"/>
      <c r="W8" s="554"/>
      <c r="X8" s="552"/>
      <c r="Y8" s="553"/>
      <c r="Z8" s="553"/>
      <c r="AA8" s="553"/>
      <c r="AB8" s="553"/>
      <c r="AC8" s="553"/>
      <c r="AD8" s="553"/>
      <c r="AE8" s="553"/>
      <c r="AF8" s="553"/>
      <c r="AG8" s="554"/>
      <c r="AH8" s="573"/>
      <c r="AI8" s="573"/>
      <c r="AJ8" s="573"/>
      <c r="AK8" s="573"/>
      <c r="AL8" s="573"/>
      <c r="AM8" s="573"/>
      <c r="AN8" s="573"/>
      <c r="AO8" s="573"/>
      <c r="AP8" s="574"/>
    </row>
    <row r="9" spans="1:63" ht="51" customHeight="1" thickBot="1">
      <c r="A9" s="567" t="s">
        <v>4</v>
      </c>
      <c r="B9" s="539" t="s">
        <v>5</v>
      </c>
      <c r="C9" s="549" t="s">
        <v>6</v>
      </c>
      <c r="D9" s="539" t="s">
        <v>7</v>
      </c>
      <c r="E9" s="541" t="s">
        <v>8</v>
      </c>
      <c r="F9" s="542" t="s">
        <v>9</v>
      </c>
      <c r="G9" s="541" t="s">
        <v>10</v>
      </c>
      <c r="H9" s="539" t="s">
        <v>158</v>
      </c>
      <c r="I9" s="563" t="s">
        <v>11</v>
      </c>
      <c r="J9" s="565" t="s">
        <v>12</v>
      </c>
      <c r="K9" s="541" t="s">
        <v>199</v>
      </c>
      <c r="L9" s="541" t="s">
        <v>13</v>
      </c>
      <c r="M9" s="545" t="s">
        <v>14</v>
      </c>
      <c r="N9" s="549"/>
      <c r="O9" s="541" t="s">
        <v>22</v>
      </c>
      <c r="P9" s="539" t="s">
        <v>23</v>
      </c>
      <c r="Q9" s="545" t="s">
        <v>24</v>
      </c>
      <c r="R9" s="550" t="s">
        <v>15</v>
      </c>
      <c r="S9" s="543" t="s">
        <v>17</v>
      </c>
      <c r="T9" s="550" t="s">
        <v>16</v>
      </c>
      <c r="U9" s="543" t="s">
        <v>17</v>
      </c>
      <c r="V9" s="556" t="s">
        <v>148</v>
      </c>
      <c r="W9" s="558" t="s">
        <v>18</v>
      </c>
      <c r="X9" s="560" t="s">
        <v>19</v>
      </c>
      <c r="Y9" s="547" t="s">
        <v>20</v>
      </c>
      <c r="Z9" s="547"/>
      <c r="AA9" s="547"/>
      <c r="AB9" s="547"/>
      <c r="AC9" s="547"/>
      <c r="AD9" s="547"/>
      <c r="AE9" s="547"/>
      <c r="AF9" s="547"/>
      <c r="AG9" s="548"/>
      <c r="AH9" s="578" t="s">
        <v>15</v>
      </c>
      <c r="AI9" s="580" t="s">
        <v>145</v>
      </c>
      <c r="AJ9" s="580" t="s">
        <v>142</v>
      </c>
      <c r="AK9" s="591" t="s">
        <v>149</v>
      </c>
      <c r="AL9" s="575" t="s">
        <v>146</v>
      </c>
      <c r="AM9" s="575" t="s">
        <v>165</v>
      </c>
      <c r="AN9" s="575" t="s">
        <v>147</v>
      </c>
      <c r="AO9" s="575" t="s">
        <v>165</v>
      </c>
      <c r="AP9" s="582" t="s">
        <v>150</v>
      </c>
      <c r="AQ9" s="587" t="s">
        <v>171</v>
      </c>
      <c r="AR9" s="588"/>
      <c r="AS9" s="588"/>
      <c r="AT9" s="588"/>
      <c r="AU9" s="588"/>
      <c r="AV9" s="588"/>
      <c r="AW9" s="589"/>
      <c r="AX9" s="587" t="s">
        <v>170</v>
      </c>
      <c r="AY9" s="588"/>
      <c r="AZ9" s="588"/>
      <c r="BA9" s="588"/>
      <c r="BB9" s="584" t="s">
        <v>41</v>
      </c>
    </row>
    <row r="10" spans="1:63" ht="63.75" customHeight="1" thickBot="1">
      <c r="A10" s="568"/>
      <c r="B10" s="540"/>
      <c r="C10" s="569"/>
      <c r="D10" s="540"/>
      <c r="E10" s="562"/>
      <c r="F10" s="566"/>
      <c r="G10" s="562"/>
      <c r="H10" s="540"/>
      <c r="I10" s="564"/>
      <c r="J10" s="560"/>
      <c r="K10" s="542"/>
      <c r="L10" s="542"/>
      <c r="M10" s="151" t="s">
        <v>21</v>
      </c>
      <c r="N10" s="151" t="s">
        <v>200</v>
      </c>
      <c r="O10" s="542"/>
      <c r="P10" s="540"/>
      <c r="Q10" s="546"/>
      <c r="R10" s="551"/>
      <c r="S10" s="544" t="s">
        <v>17</v>
      </c>
      <c r="T10" s="551"/>
      <c r="U10" s="543"/>
      <c r="V10" s="557"/>
      <c r="W10" s="559"/>
      <c r="X10" s="561"/>
      <c r="Y10" s="214" t="s">
        <v>25</v>
      </c>
      <c r="Z10" s="215" t="s">
        <v>26</v>
      </c>
      <c r="AA10" s="214" t="s">
        <v>27</v>
      </c>
      <c r="AB10" s="213" t="s">
        <v>26</v>
      </c>
      <c r="AC10" s="213" t="s">
        <v>162</v>
      </c>
      <c r="AD10" s="213" t="s">
        <v>163</v>
      </c>
      <c r="AE10" s="214" t="s">
        <v>201</v>
      </c>
      <c r="AF10" s="214" t="s">
        <v>28</v>
      </c>
      <c r="AG10" s="216" t="s">
        <v>29</v>
      </c>
      <c r="AH10" s="579"/>
      <c r="AI10" s="581"/>
      <c r="AJ10" s="581"/>
      <c r="AK10" s="592"/>
      <c r="AL10" s="576"/>
      <c r="AM10" s="576"/>
      <c r="AN10" s="576"/>
      <c r="AO10" s="576"/>
      <c r="AP10" s="583"/>
      <c r="AQ10" s="590" t="s">
        <v>30</v>
      </c>
      <c r="AR10" s="577" t="s">
        <v>31</v>
      </c>
      <c r="AS10" s="577" t="s">
        <v>32</v>
      </c>
      <c r="AT10" s="577" t="s">
        <v>33</v>
      </c>
      <c r="AU10" s="218" t="s">
        <v>34</v>
      </c>
      <c r="AV10" s="577" t="s">
        <v>35</v>
      </c>
      <c r="AW10" s="577" t="s">
        <v>36</v>
      </c>
      <c r="AX10" s="577" t="s">
        <v>37</v>
      </c>
      <c r="AY10" s="217" t="s">
        <v>38</v>
      </c>
      <c r="AZ10" s="217" t="s">
        <v>39</v>
      </c>
      <c r="BA10" s="217" t="s">
        <v>40</v>
      </c>
      <c r="BB10" s="585"/>
      <c r="BF10" s="12"/>
    </row>
    <row r="11" spans="1:63" ht="0.75" customHeight="1" thickBot="1">
      <c r="J11" s="253"/>
      <c r="K11" s="254"/>
      <c r="L11" s="254"/>
      <c r="M11" s="254"/>
      <c r="N11" s="237"/>
      <c r="O11" s="226"/>
      <c r="P11" s="226"/>
      <c r="Q11" s="226"/>
      <c r="R11" s="219"/>
      <c r="S11" s="220"/>
      <c r="T11" s="221"/>
      <c r="U11" s="544"/>
      <c r="V11" s="222"/>
      <c r="W11" s="222"/>
      <c r="X11" s="223"/>
      <c r="Y11" s="224"/>
      <c r="Z11" s="255"/>
      <c r="AA11" s="255"/>
      <c r="AB11" s="255"/>
      <c r="AC11" s="255"/>
      <c r="AD11" s="254"/>
      <c r="AE11" s="254"/>
      <c r="AF11" s="254"/>
      <c r="AG11" s="254"/>
      <c r="AH11" s="225"/>
      <c r="AI11" s="225"/>
      <c r="AJ11" s="225"/>
      <c r="AK11" s="226"/>
      <c r="AL11" s="226"/>
      <c r="AM11" s="226"/>
      <c r="AN11" s="226"/>
      <c r="AO11" s="226"/>
      <c r="AP11" s="256"/>
      <c r="AQ11" s="561"/>
      <c r="AR11" s="566"/>
      <c r="AS11" s="566"/>
      <c r="AT11" s="566"/>
      <c r="AU11" s="214"/>
      <c r="AV11" s="566"/>
      <c r="AW11" s="566"/>
      <c r="AX11" s="566"/>
      <c r="AY11" s="213"/>
      <c r="AZ11" s="213"/>
      <c r="BA11" s="213"/>
      <c r="BB11" s="586"/>
      <c r="BF11" s="12"/>
    </row>
    <row r="12" spans="1:63" s="51" customFormat="1" ht="154.5" customHeight="1">
      <c r="A12" s="328" t="s">
        <v>720</v>
      </c>
      <c r="B12" s="83" t="s">
        <v>715</v>
      </c>
      <c r="C12" s="83" t="s">
        <v>675</v>
      </c>
      <c r="D12" s="83" t="s">
        <v>59</v>
      </c>
      <c r="E12" s="83" t="s">
        <v>59</v>
      </c>
      <c r="F12" s="83" t="s">
        <v>714</v>
      </c>
      <c r="G12" s="83" t="s">
        <v>713</v>
      </c>
      <c r="H12" s="83" t="s">
        <v>160</v>
      </c>
      <c r="I12" s="83" t="s">
        <v>70</v>
      </c>
      <c r="J12" s="110" t="s">
        <v>712</v>
      </c>
      <c r="K12" s="110" t="s">
        <v>686</v>
      </c>
      <c r="L12" s="110" t="s">
        <v>74</v>
      </c>
      <c r="M12" s="110" t="s">
        <v>711</v>
      </c>
      <c r="N12" s="127" t="s">
        <v>710</v>
      </c>
      <c r="O12" s="127" t="s">
        <v>177</v>
      </c>
      <c r="P12" s="127" t="s">
        <v>77</v>
      </c>
      <c r="Q12" s="227" t="s">
        <v>709</v>
      </c>
      <c r="R12" s="127" t="s">
        <v>42</v>
      </c>
      <c r="S12" s="228">
        <v>0.6</v>
      </c>
      <c r="T12" s="130" t="s">
        <v>99</v>
      </c>
      <c r="U12" s="229">
        <v>0.8</v>
      </c>
      <c r="V12" s="230">
        <f t="shared" ref="V12:V17" si="0">+S12+U12/2</f>
        <v>1</v>
      </c>
      <c r="W12" s="114" t="s">
        <v>100</v>
      </c>
      <c r="X12" s="238" t="s">
        <v>708</v>
      </c>
      <c r="Y12" s="110" t="s">
        <v>119</v>
      </c>
      <c r="Z12" s="110">
        <v>0.15</v>
      </c>
      <c r="AA12" s="110" t="s">
        <v>43</v>
      </c>
      <c r="AB12" s="110">
        <f>VLOOKUP(AA12,[6]Campos!$D$66:$E$67,2,FALSE)</f>
        <v>0.15</v>
      </c>
      <c r="AC12" s="229">
        <v>0.3</v>
      </c>
      <c r="AD12" s="229">
        <v>0</v>
      </c>
      <c r="AE12" s="111" t="s">
        <v>44</v>
      </c>
      <c r="AF12" s="111" t="s">
        <v>126</v>
      </c>
      <c r="AG12" s="110" t="s">
        <v>129</v>
      </c>
      <c r="AH12" s="112" t="s">
        <v>135</v>
      </c>
      <c r="AI12" s="112"/>
      <c r="AJ12" s="112" t="s">
        <v>99</v>
      </c>
      <c r="AK12" s="114">
        <f>+VLOOKUP(AJ12,[6]Campos!$S$32:$T$39,2,FALSE)</f>
        <v>0.8</v>
      </c>
      <c r="AL12" s="115">
        <v>0.42</v>
      </c>
      <c r="AM12" s="114" t="str">
        <f>+VLOOKUP(AL12,[6]Campos!$W$23:$X$122,2,TRUE)</f>
        <v>Media - 60%</v>
      </c>
      <c r="AN12" s="116">
        <f>+IF(Y12="Correctivo",AK12*AD12,AK12*1)</f>
        <v>0.8</v>
      </c>
      <c r="AO12" s="114" t="str">
        <f>+VLOOKUP(AN12,[6]Campos!$W$22:$Y$122,3,TRUE)</f>
        <v>4 Mayor</v>
      </c>
      <c r="AP12" s="131" t="s">
        <v>100</v>
      </c>
      <c r="AQ12" s="257" t="str">
        <f>+VLOOKUP(AP12,[6]Campos!K100:L106,2,FALSE)</f>
        <v>Reducir el riesgo</v>
      </c>
      <c r="AR12" s="110" t="s">
        <v>707</v>
      </c>
      <c r="AS12" s="110" t="s">
        <v>706</v>
      </c>
      <c r="AT12" s="110" t="s">
        <v>677</v>
      </c>
      <c r="AU12" s="110" t="s">
        <v>157</v>
      </c>
      <c r="AV12" s="142">
        <v>45292</v>
      </c>
      <c r="AW12" s="142">
        <v>45638</v>
      </c>
      <c r="AX12" s="110" t="s">
        <v>705</v>
      </c>
      <c r="AY12" s="110" t="s">
        <v>704</v>
      </c>
      <c r="AZ12" s="110" t="s">
        <v>677</v>
      </c>
      <c r="BA12" s="110" t="s">
        <v>690</v>
      </c>
      <c r="BB12" s="110" t="s">
        <v>703</v>
      </c>
      <c r="BF12" s="52"/>
    </row>
    <row r="13" spans="1:63" s="51" customFormat="1" ht="171" customHeight="1">
      <c r="A13" s="328" t="s">
        <v>721</v>
      </c>
      <c r="B13" s="83" t="s">
        <v>715</v>
      </c>
      <c r="C13" s="83" t="s">
        <v>675</v>
      </c>
      <c r="D13" s="83" t="s">
        <v>59</v>
      </c>
      <c r="E13" s="83" t="s">
        <v>59</v>
      </c>
      <c r="F13" s="83" t="s">
        <v>702</v>
      </c>
      <c r="G13" s="83" t="s">
        <v>701</v>
      </c>
      <c r="H13" s="83" t="s">
        <v>160</v>
      </c>
      <c r="I13" s="83" t="s">
        <v>70</v>
      </c>
      <c r="J13" s="83" t="s">
        <v>700</v>
      </c>
      <c r="K13" s="83" t="s">
        <v>699</v>
      </c>
      <c r="L13" s="110" t="s">
        <v>74</v>
      </c>
      <c r="M13" s="83" t="s">
        <v>698</v>
      </c>
      <c r="N13" s="89" t="s">
        <v>697</v>
      </c>
      <c r="O13" s="127" t="s">
        <v>177</v>
      </c>
      <c r="P13" s="89" t="s">
        <v>77</v>
      </c>
      <c r="Q13" s="231" t="s">
        <v>696</v>
      </c>
      <c r="R13" s="89" t="s">
        <v>42</v>
      </c>
      <c r="S13" s="228">
        <v>0.6</v>
      </c>
      <c r="T13" s="130" t="s">
        <v>99</v>
      </c>
      <c r="U13" s="229">
        <v>0.8</v>
      </c>
      <c r="V13" s="85">
        <f t="shared" si="0"/>
        <v>1</v>
      </c>
      <c r="W13" s="114" t="s">
        <v>100</v>
      </c>
      <c r="X13" s="238" t="s">
        <v>695</v>
      </c>
      <c r="Y13" s="83" t="s">
        <v>118</v>
      </c>
      <c r="Z13" s="83">
        <v>0.25</v>
      </c>
      <c r="AA13" s="83" t="s">
        <v>43</v>
      </c>
      <c r="AB13" s="110">
        <f>VLOOKUP(AA13,[6]Campos!$D$66:$E$67,2,FALSE)</f>
        <v>0.15</v>
      </c>
      <c r="AC13" s="229">
        <v>0.4</v>
      </c>
      <c r="AD13" s="232">
        <v>0</v>
      </c>
      <c r="AE13" s="84" t="s">
        <v>44</v>
      </c>
      <c r="AF13" s="84" t="s">
        <v>126</v>
      </c>
      <c r="AG13" s="83" t="s">
        <v>129</v>
      </c>
      <c r="AH13" s="91" t="s">
        <v>135</v>
      </c>
      <c r="AI13" s="91"/>
      <c r="AJ13" s="91" t="s">
        <v>99</v>
      </c>
      <c r="AK13" s="85">
        <f>+VLOOKUP(AJ13,[6]Campos!$S$32:$T$39,2,FALSE)</f>
        <v>0.8</v>
      </c>
      <c r="AL13" s="86">
        <v>0.36</v>
      </c>
      <c r="AM13" s="85" t="str">
        <f>+VLOOKUP(AL13,[6]Campos!$W$23:$X$122,2,TRUE)</f>
        <v>Baja - 40%</v>
      </c>
      <c r="AN13" s="87">
        <f>+[6]Campos!L112</f>
        <v>0.8</v>
      </c>
      <c r="AO13" s="85" t="str">
        <f>+VLOOKUP(AN13,[6]Campos!$W$22:$Y$122,3,TRUE)</f>
        <v>4 Mayor</v>
      </c>
      <c r="AP13" s="88" t="s">
        <v>100</v>
      </c>
      <c r="AQ13" s="257" t="str">
        <f>+VLOOKUP(AP13,[6]Campos!K101:L107,2,FALSE)</f>
        <v>Reducir el riesgo</v>
      </c>
      <c r="AR13" s="110" t="s">
        <v>694</v>
      </c>
      <c r="AS13" s="110" t="s">
        <v>693</v>
      </c>
      <c r="AT13" s="110" t="s">
        <v>677</v>
      </c>
      <c r="AU13" s="110" t="s">
        <v>157</v>
      </c>
      <c r="AV13" s="142">
        <v>45292</v>
      </c>
      <c r="AW13" s="142">
        <v>45638</v>
      </c>
      <c r="AX13" s="110" t="s">
        <v>692</v>
      </c>
      <c r="AY13" s="83" t="s">
        <v>691</v>
      </c>
      <c r="AZ13" s="110" t="s">
        <v>677</v>
      </c>
      <c r="BA13" s="110" t="s">
        <v>690</v>
      </c>
      <c r="BB13" s="110" t="s">
        <v>659</v>
      </c>
      <c r="BF13" s="52"/>
    </row>
    <row r="14" spans="1:63" s="51" customFormat="1" ht="131.25" customHeight="1">
      <c r="A14" s="328" t="s">
        <v>722</v>
      </c>
      <c r="B14" s="83" t="s">
        <v>715</v>
      </c>
      <c r="C14" s="83" t="s">
        <v>675</v>
      </c>
      <c r="D14" s="83" t="s">
        <v>59</v>
      </c>
      <c r="E14" s="83" t="s">
        <v>59</v>
      </c>
      <c r="F14" s="83" t="s">
        <v>689</v>
      </c>
      <c r="G14" s="83" t="s">
        <v>688</v>
      </c>
      <c r="H14" s="83" t="s">
        <v>160</v>
      </c>
      <c r="I14" s="83" t="s">
        <v>72</v>
      </c>
      <c r="J14" s="83" t="s">
        <v>687</v>
      </c>
      <c r="K14" s="83" t="s">
        <v>686</v>
      </c>
      <c r="L14" s="110" t="s">
        <v>74</v>
      </c>
      <c r="M14" s="83" t="s">
        <v>685</v>
      </c>
      <c r="N14" s="89" t="s">
        <v>684</v>
      </c>
      <c r="O14" s="127" t="s">
        <v>177</v>
      </c>
      <c r="P14" s="89" t="s">
        <v>77</v>
      </c>
      <c r="Q14" s="231" t="s">
        <v>683</v>
      </c>
      <c r="R14" s="89" t="s">
        <v>42</v>
      </c>
      <c r="S14" s="228">
        <v>0.6</v>
      </c>
      <c r="T14" s="130" t="s">
        <v>99</v>
      </c>
      <c r="U14" s="229">
        <v>0.8</v>
      </c>
      <c r="V14" s="85">
        <f t="shared" si="0"/>
        <v>1</v>
      </c>
      <c r="W14" s="114" t="s">
        <v>100</v>
      </c>
      <c r="X14" s="238" t="s">
        <v>682</v>
      </c>
      <c r="Y14" s="83" t="s">
        <v>118</v>
      </c>
      <c r="Z14" s="83">
        <v>0.25</v>
      </c>
      <c r="AA14" s="83" t="s">
        <v>43</v>
      </c>
      <c r="AB14" s="110">
        <f>VLOOKUP(AA14,[6]Campos!$D$66:$E$67,2,FALSE)</f>
        <v>0.15</v>
      </c>
      <c r="AC14" s="229">
        <v>0.4</v>
      </c>
      <c r="AD14" s="232">
        <v>0</v>
      </c>
      <c r="AE14" s="84" t="s">
        <v>44</v>
      </c>
      <c r="AF14" s="84" t="s">
        <v>126</v>
      </c>
      <c r="AG14" s="83" t="s">
        <v>129</v>
      </c>
      <c r="AH14" s="91" t="s">
        <v>135</v>
      </c>
      <c r="AI14" s="91"/>
      <c r="AJ14" s="91" t="s">
        <v>99</v>
      </c>
      <c r="AK14" s="85">
        <f>+VLOOKUP(AJ14,[6]Campos!$S$32:$T$39,2,FALSE)</f>
        <v>0.8</v>
      </c>
      <c r="AL14" s="86">
        <v>0.36</v>
      </c>
      <c r="AM14" s="85" t="str">
        <f>+VLOOKUP(AL14,[6]Campos!$W$23:$X$122,2,TRUE)</f>
        <v>Baja - 40%</v>
      </c>
      <c r="AN14" s="87">
        <f>+[6]Campos!L113</f>
        <v>0.8</v>
      </c>
      <c r="AO14" s="85" t="str">
        <f>+VLOOKUP(AN14,[6]Campos!$W$22:$Y$122,3,TRUE)</f>
        <v>4 Mayor</v>
      </c>
      <c r="AP14" s="88" t="s">
        <v>100</v>
      </c>
      <c r="AQ14" s="257" t="str">
        <f>+VLOOKUP(AP14,[6]Campos!K102:L108,2,FALSE)</f>
        <v>Reducir el riesgo</v>
      </c>
      <c r="AR14" s="110" t="s">
        <v>681</v>
      </c>
      <c r="AS14" s="110" t="s">
        <v>680</v>
      </c>
      <c r="AT14" s="110" t="s">
        <v>677</v>
      </c>
      <c r="AU14" s="110" t="s">
        <v>634</v>
      </c>
      <c r="AV14" s="142">
        <v>45292</v>
      </c>
      <c r="AW14" s="142">
        <v>45638</v>
      </c>
      <c r="AX14" s="110" t="s">
        <v>679</v>
      </c>
      <c r="AY14" s="83" t="s">
        <v>678</v>
      </c>
      <c r="AZ14" s="110" t="s">
        <v>677</v>
      </c>
      <c r="BA14" s="110" t="s">
        <v>676</v>
      </c>
      <c r="BB14" s="110" t="s">
        <v>659</v>
      </c>
      <c r="BF14" s="52"/>
    </row>
    <row r="15" spans="1:63" s="51" customFormat="1" ht="108.75" customHeight="1">
      <c r="A15" s="328" t="s">
        <v>723</v>
      </c>
      <c r="B15" s="83" t="s">
        <v>715</v>
      </c>
      <c r="C15" s="83" t="s">
        <v>675</v>
      </c>
      <c r="D15" s="83" t="s">
        <v>59</v>
      </c>
      <c r="E15" s="83" t="s">
        <v>59</v>
      </c>
      <c r="F15" s="83" t="s">
        <v>674</v>
      </c>
      <c r="G15" s="83" t="s">
        <v>673</v>
      </c>
      <c r="H15" s="83" t="s">
        <v>160</v>
      </c>
      <c r="I15" s="83" t="s">
        <v>70</v>
      </c>
      <c r="J15" s="83" t="s">
        <v>672</v>
      </c>
      <c r="K15" s="83" t="s">
        <v>671</v>
      </c>
      <c r="L15" s="110" t="s">
        <v>74</v>
      </c>
      <c r="M15" s="83" t="s">
        <v>670</v>
      </c>
      <c r="N15" s="89" t="s">
        <v>669</v>
      </c>
      <c r="O15" s="89" t="s">
        <v>457</v>
      </c>
      <c r="P15" s="89" t="s">
        <v>77</v>
      </c>
      <c r="Q15" s="231" t="s">
        <v>668</v>
      </c>
      <c r="R15" s="89" t="s">
        <v>42</v>
      </c>
      <c r="S15" s="228">
        <v>0.6</v>
      </c>
      <c r="T15" s="130" t="s">
        <v>99</v>
      </c>
      <c r="U15" s="229">
        <v>0.8</v>
      </c>
      <c r="V15" s="85">
        <f t="shared" si="0"/>
        <v>1</v>
      </c>
      <c r="W15" s="114" t="s">
        <v>100</v>
      </c>
      <c r="X15" s="238" t="s">
        <v>667</v>
      </c>
      <c r="Y15" s="83" t="s">
        <v>118</v>
      </c>
      <c r="Z15" s="83">
        <v>0.25</v>
      </c>
      <c r="AA15" s="83" t="s">
        <v>43</v>
      </c>
      <c r="AB15" s="110">
        <f>VLOOKUP(AA15,[6]Campos!$D$66:$E$67,2,FALSE)</f>
        <v>0.15</v>
      </c>
      <c r="AC15" s="229">
        <v>0.4</v>
      </c>
      <c r="AD15" s="232">
        <v>0</v>
      </c>
      <c r="AE15" s="84" t="s">
        <v>44</v>
      </c>
      <c r="AF15" s="84" t="s">
        <v>126</v>
      </c>
      <c r="AG15" s="83" t="s">
        <v>129</v>
      </c>
      <c r="AH15" s="91" t="s">
        <v>135</v>
      </c>
      <c r="AI15" s="91"/>
      <c r="AJ15" s="91" t="s">
        <v>99</v>
      </c>
      <c r="AK15" s="85">
        <f>+VLOOKUP(AJ15,[6]Campos!$S$32:$T$39,2,FALSE)</f>
        <v>0.8</v>
      </c>
      <c r="AL15" s="86">
        <v>0.36</v>
      </c>
      <c r="AM15" s="85" t="str">
        <f>+VLOOKUP(AL15,[6]Campos!$W$23:$X$122,2,TRUE)</f>
        <v>Baja - 40%</v>
      </c>
      <c r="AN15" s="87">
        <f>+[6]Campos!L114</f>
        <v>0.8</v>
      </c>
      <c r="AO15" s="85" t="str">
        <f>+VLOOKUP(AN15,[6]Campos!$W$22:$Y$122,3,TRUE)</f>
        <v>4 Mayor</v>
      </c>
      <c r="AP15" s="88" t="s">
        <v>100</v>
      </c>
      <c r="AQ15" s="257" t="str">
        <f>+VLOOKUP(AP15,[6]Campos!K103:L109,2,FALSE)</f>
        <v>Reducir el riesgo</v>
      </c>
      <c r="AR15" s="110" t="s">
        <v>666</v>
      </c>
      <c r="AS15" s="110" t="s">
        <v>665</v>
      </c>
      <c r="AT15" s="110" t="s">
        <v>664</v>
      </c>
      <c r="AU15" s="110" t="s">
        <v>157</v>
      </c>
      <c r="AV15" s="142">
        <v>45292</v>
      </c>
      <c r="AW15" s="142">
        <v>45638</v>
      </c>
      <c r="AX15" s="110" t="s">
        <v>663</v>
      </c>
      <c r="AY15" s="83" t="s">
        <v>662</v>
      </c>
      <c r="AZ15" s="83" t="s">
        <v>661</v>
      </c>
      <c r="BA15" s="83" t="s">
        <v>660</v>
      </c>
      <c r="BB15" s="110" t="s">
        <v>659</v>
      </c>
      <c r="BF15" s="52"/>
    </row>
    <row r="16" spans="1:63" s="51" customFormat="1" ht="132" customHeight="1">
      <c r="A16" s="500" t="s">
        <v>724</v>
      </c>
      <c r="B16" s="479" t="s">
        <v>715</v>
      </c>
      <c r="C16" s="479" t="s">
        <v>658</v>
      </c>
      <c r="D16" s="479" t="s">
        <v>59</v>
      </c>
      <c r="E16" s="479" t="s">
        <v>59</v>
      </c>
      <c r="F16" s="479" t="s">
        <v>657</v>
      </c>
      <c r="G16" s="479" t="s">
        <v>656</v>
      </c>
      <c r="H16" s="479" t="s">
        <v>159</v>
      </c>
      <c r="I16" s="479" t="s">
        <v>73</v>
      </c>
      <c r="J16" s="479" t="s">
        <v>178</v>
      </c>
      <c r="K16" s="479" t="s">
        <v>178</v>
      </c>
      <c r="L16" s="479" t="s">
        <v>74</v>
      </c>
      <c r="M16" s="479" t="s">
        <v>655</v>
      </c>
      <c r="N16" s="502" t="s">
        <v>654</v>
      </c>
      <c r="O16" s="502" t="s">
        <v>653</v>
      </c>
      <c r="P16" s="502" t="s">
        <v>79</v>
      </c>
      <c r="Q16" s="502" t="s">
        <v>652</v>
      </c>
      <c r="R16" s="89" t="s">
        <v>108</v>
      </c>
      <c r="S16" s="233">
        <v>0.8</v>
      </c>
      <c r="T16" s="90" t="s">
        <v>99</v>
      </c>
      <c r="U16" s="233">
        <v>0.8</v>
      </c>
      <c r="V16" s="85">
        <f t="shared" si="0"/>
        <v>1.2000000000000002</v>
      </c>
      <c r="W16" s="114" t="s">
        <v>100</v>
      </c>
      <c r="X16" s="238" t="s">
        <v>651</v>
      </c>
      <c r="Y16" s="83" t="s">
        <v>118</v>
      </c>
      <c r="Z16" s="83">
        <v>0.25</v>
      </c>
      <c r="AA16" s="83" t="s">
        <v>43</v>
      </c>
      <c r="AB16" s="110">
        <f>VLOOKUP(AA16,[6]Campos!$D$66:$E$67,2,FALSE)</f>
        <v>0.15</v>
      </c>
      <c r="AC16" s="229">
        <v>0.4</v>
      </c>
      <c r="AD16" s="232">
        <v>0</v>
      </c>
      <c r="AE16" s="84" t="s">
        <v>44</v>
      </c>
      <c r="AF16" s="84" t="s">
        <v>126</v>
      </c>
      <c r="AG16" s="83" t="s">
        <v>129</v>
      </c>
      <c r="AH16" s="91" t="s">
        <v>135</v>
      </c>
      <c r="AI16" s="91"/>
      <c r="AJ16" s="91" t="s">
        <v>99</v>
      </c>
      <c r="AK16" s="85">
        <f>+VLOOKUP(AJ16,[6]Campos!$S$32:$T$39,2,FALSE)</f>
        <v>0.8</v>
      </c>
      <c r="AL16" s="86">
        <v>0.36</v>
      </c>
      <c r="AM16" s="85" t="str">
        <f>+VLOOKUP(AL16,[6]Campos!$W$23:$X$122,2,TRUE)</f>
        <v>Baja - 40%</v>
      </c>
      <c r="AN16" s="87">
        <v>0.8</v>
      </c>
      <c r="AO16" s="85" t="str">
        <f>+VLOOKUP(AN16,[6]Campos!$W$22:$Y$122,3,TRUE)</f>
        <v>4 Mayor</v>
      </c>
      <c r="AP16" s="88" t="s">
        <v>100</v>
      </c>
      <c r="AQ16" s="257" t="s">
        <v>98</v>
      </c>
      <c r="AR16" s="110" t="s">
        <v>650</v>
      </c>
      <c r="AS16" s="110" t="s">
        <v>649</v>
      </c>
      <c r="AT16" s="110" t="s">
        <v>645</v>
      </c>
      <c r="AU16" s="110" t="s">
        <v>48</v>
      </c>
      <c r="AV16" s="142">
        <v>45292</v>
      </c>
      <c r="AW16" s="142">
        <v>45638</v>
      </c>
      <c r="AX16" s="110" t="s">
        <v>451</v>
      </c>
      <c r="AY16" s="83" t="s">
        <v>450</v>
      </c>
      <c r="AZ16" s="83" t="s">
        <v>644</v>
      </c>
      <c r="BA16" s="83" t="s">
        <v>643</v>
      </c>
      <c r="BB16" s="83" t="s">
        <v>642</v>
      </c>
      <c r="BF16" s="52"/>
    </row>
    <row r="17" spans="1:58" s="51" customFormat="1" ht="123.75" customHeight="1">
      <c r="A17" s="501"/>
      <c r="B17" s="481"/>
      <c r="C17" s="481"/>
      <c r="D17" s="481"/>
      <c r="E17" s="481"/>
      <c r="F17" s="481"/>
      <c r="G17" s="481"/>
      <c r="H17" s="481"/>
      <c r="I17" s="481"/>
      <c r="J17" s="481"/>
      <c r="K17" s="481"/>
      <c r="L17" s="481"/>
      <c r="M17" s="481"/>
      <c r="N17" s="503"/>
      <c r="O17" s="503"/>
      <c r="P17" s="503"/>
      <c r="Q17" s="503"/>
      <c r="R17" s="89" t="s">
        <v>108</v>
      </c>
      <c r="S17" s="233">
        <v>0.8</v>
      </c>
      <c r="T17" s="90" t="s">
        <v>99</v>
      </c>
      <c r="U17" s="233">
        <v>0.8</v>
      </c>
      <c r="V17" s="85">
        <f t="shared" si="0"/>
        <v>1.2000000000000002</v>
      </c>
      <c r="W17" s="114" t="s">
        <v>100</v>
      </c>
      <c r="X17" s="238" t="s">
        <v>648</v>
      </c>
      <c r="Y17" s="83" t="s">
        <v>118</v>
      </c>
      <c r="Z17" s="83">
        <v>0.25</v>
      </c>
      <c r="AA17" s="83" t="s">
        <v>43</v>
      </c>
      <c r="AB17" s="110">
        <f>VLOOKUP(AA17,[6]Campos!$D$66:$E$67,2,FALSE)</f>
        <v>0.15</v>
      </c>
      <c r="AC17" s="229">
        <v>0.4</v>
      </c>
      <c r="AD17" s="232">
        <v>0</v>
      </c>
      <c r="AE17" s="84" t="s">
        <v>44</v>
      </c>
      <c r="AF17" s="84" t="s">
        <v>126</v>
      </c>
      <c r="AG17" s="83" t="s">
        <v>129</v>
      </c>
      <c r="AH17" s="91" t="s">
        <v>134</v>
      </c>
      <c r="AI17" s="91"/>
      <c r="AJ17" s="91" t="s">
        <v>99</v>
      </c>
      <c r="AK17" s="85">
        <f>+VLOOKUP(AJ17,[6]Campos!$S$32:$T$39,2,FALSE)</f>
        <v>0.8</v>
      </c>
      <c r="AL17" s="234">
        <v>0.216</v>
      </c>
      <c r="AM17" s="85" t="str">
        <f>+VLOOKUP(AL17,[6]Campos!$W$23:$X$122,2,TRUE)</f>
        <v>Baja - 40%</v>
      </c>
      <c r="AN17" s="87">
        <v>0.8</v>
      </c>
      <c r="AO17" s="85" t="str">
        <f>+VLOOKUP(AN17,[6]Campos!$W$22:$Y$122,3,TRUE)</f>
        <v>4 Mayor</v>
      </c>
      <c r="AP17" s="88" t="s">
        <v>100</v>
      </c>
      <c r="AQ17" s="257" t="s">
        <v>98</v>
      </c>
      <c r="AR17" s="110" t="s">
        <v>647</v>
      </c>
      <c r="AS17" s="110" t="s">
        <v>646</v>
      </c>
      <c r="AT17" s="110" t="s">
        <v>645</v>
      </c>
      <c r="AU17" s="110" t="s">
        <v>48</v>
      </c>
      <c r="AV17" s="142">
        <v>45292</v>
      </c>
      <c r="AW17" s="142">
        <v>45638</v>
      </c>
      <c r="AX17" s="110" t="s">
        <v>451</v>
      </c>
      <c r="AY17" s="83" t="s">
        <v>450</v>
      </c>
      <c r="AZ17" s="83" t="s">
        <v>644</v>
      </c>
      <c r="BA17" s="83" t="s">
        <v>643</v>
      </c>
      <c r="BB17" s="83" t="s">
        <v>642</v>
      </c>
      <c r="BF17" s="52"/>
    </row>
    <row r="18" spans="1:58" s="51" customFormat="1" ht="152.25" customHeight="1">
      <c r="A18" s="500" t="s">
        <v>725</v>
      </c>
      <c r="B18" s="479" t="s">
        <v>715</v>
      </c>
      <c r="C18" s="479" t="s">
        <v>541</v>
      </c>
      <c r="D18" s="479" t="s">
        <v>64</v>
      </c>
      <c r="E18" s="479" t="s">
        <v>64</v>
      </c>
      <c r="F18" s="479" t="s">
        <v>641</v>
      </c>
      <c r="G18" s="479" t="s">
        <v>640</v>
      </c>
      <c r="H18" s="479" t="s">
        <v>159</v>
      </c>
      <c r="I18" s="479" t="s">
        <v>205</v>
      </c>
      <c r="J18" s="479" t="s">
        <v>178</v>
      </c>
      <c r="K18" s="479" t="s">
        <v>178</v>
      </c>
      <c r="L18" s="479" t="s">
        <v>74</v>
      </c>
      <c r="M18" s="479" t="s">
        <v>639</v>
      </c>
      <c r="N18" s="502" t="s">
        <v>638</v>
      </c>
      <c r="O18" s="502" t="s">
        <v>177</v>
      </c>
      <c r="P18" s="502" t="s">
        <v>74</v>
      </c>
      <c r="Q18" s="502" t="s">
        <v>637</v>
      </c>
      <c r="R18" s="502" t="s">
        <v>42</v>
      </c>
      <c r="S18" s="509">
        <v>0.6</v>
      </c>
      <c r="T18" s="512" t="s">
        <v>96</v>
      </c>
      <c r="U18" s="509">
        <v>0.6</v>
      </c>
      <c r="V18" s="522">
        <f>+S18+U18</f>
        <v>1.2</v>
      </c>
      <c r="W18" s="522" t="s">
        <v>97</v>
      </c>
      <c r="X18" s="497" t="s">
        <v>636</v>
      </c>
      <c r="Y18" s="479" t="s">
        <v>118</v>
      </c>
      <c r="Z18" s="479">
        <v>0.25</v>
      </c>
      <c r="AA18" s="479" t="s">
        <v>43</v>
      </c>
      <c r="AB18" s="479">
        <v>0.15</v>
      </c>
      <c r="AC18" s="505">
        <v>0.4</v>
      </c>
      <c r="AD18" s="505">
        <v>0</v>
      </c>
      <c r="AE18" s="535" t="s">
        <v>44</v>
      </c>
      <c r="AF18" s="535" t="s">
        <v>126</v>
      </c>
      <c r="AG18" s="479" t="s">
        <v>129</v>
      </c>
      <c r="AH18" s="506" t="s">
        <v>135</v>
      </c>
      <c r="AI18" s="91"/>
      <c r="AJ18" s="506" t="s">
        <v>96</v>
      </c>
      <c r="AK18" s="85">
        <f>+VLOOKUP(AJ18,[6]Campos!$S$32:$T$39,2,FALSE)</f>
        <v>0.6</v>
      </c>
      <c r="AL18" s="532">
        <v>0.36</v>
      </c>
      <c r="AM18" s="522" t="str">
        <f>+VLOOKUP(AL18,[6]Campos!$W$23:$X$122,2,TRUE)</f>
        <v>Baja - 40%</v>
      </c>
      <c r="AN18" s="529">
        <f>+[6]Campos!L117</f>
        <v>0.6</v>
      </c>
      <c r="AO18" s="522" t="str">
        <f>+VLOOKUP(AN18,[6]Campos!$W$22:$Y$122,3,TRUE)</f>
        <v>3 Moderado</v>
      </c>
      <c r="AP18" s="526" t="s">
        <v>97</v>
      </c>
      <c r="AQ18" s="523" t="s">
        <v>98</v>
      </c>
      <c r="AR18" s="110" t="s">
        <v>635</v>
      </c>
      <c r="AS18" s="107" t="s">
        <v>631</v>
      </c>
      <c r="AT18" s="110" t="s">
        <v>633</v>
      </c>
      <c r="AU18" s="479" t="s">
        <v>634</v>
      </c>
      <c r="AV18" s="519">
        <v>45292</v>
      </c>
      <c r="AW18" s="519">
        <v>45638</v>
      </c>
      <c r="AX18" s="479" t="s">
        <v>451</v>
      </c>
      <c r="AY18" s="479" t="s">
        <v>450</v>
      </c>
      <c r="AZ18" s="83" t="s">
        <v>633</v>
      </c>
      <c r="BA18" s="83" t="s">
        <v>48</v>
      </c>
      <c r="BB18" s="479" t="s">
        <v>531</v>
      </c>
      <c r="BF18" s="52"/>
    </row>
    <row r="19" spans="1:58" s="51" customFormat="1" ht="80.25" customHeight="1">
      <c r="A19" s="501"/>
      <c r="B19" s="481"/>
      <c r="C19" s="481"/>
      <c r="D19" s="481"/>
      <c r="E19" s="481"/>
      <c r="F19" s="481"/>
      <c r="G19" s="481"/>
      <c r="H19" s="481"/>
      <c r="I19" s="481"/>
      <c r="J19" s="481"/>
      <c r="K19" s="481"/>
      <c r="L19" s="481"/>
      <c r="M19" s="481"/>
      <c r="N19" s="503"/>
      <c r="O19" s="503"/>
      <c r="P19" s="503"/>
      <c r="Q19" s="503"/>
      <c r="R19" s="503"/>
      <c r="S19" s="511"/>
      <c r="T19" s="514"/>
      <c r="U19" s="511"/>
      <c r="V19" s="511"/>
      <c r="W19" s="511"/>
      <c r="X19" s="538"/>
      <c r="Y19" s="481"/>
      <c r="Z19" s="481"/>
      <c r="AA19" s="481"/>
      <c r="AB19" s="481"/>
      <c r="AC19" s="481"/>
      <c r="AD19" s="593"/>
      <c r="AE19" s="537"/>
      <c r="AF19" s="537"/>
      <c r="AG19" s="481"/>
      <c r="AH19" s="508"/>
      <c r="AI19" s="91"/>
      <c r="AJ19" s="508"/>
      <c r="AK19" s="85" t="e">
        <f>+VLOOKUP(AJ19,[6]Campos!$S$32:$T$39,2,FALSE)</f>
        <v>#N/A</v>
      </c>
      <c r="AL19" s="534"/>
      <c r="AM19" s="511"/>
      <c r="AN19" s="531"/>
      <c r="AO19" s="511"/>
      <c r="AP19" s="528"/>
      <c r="AQ19" s="525"/>
      <c r="AR19" s="110" t="s">
        <v>632</v>
      </c>
      <c r="AS19" s="83" t="s">
        <v>631</v>
      </c>
      <c r="AT19" s="110" t="s">
        <v>532</v>
      </c>
      <c r="AU19" s="481"/>
      <c r="AV19" s="521"/>
      <c r="AW19" s="521"/>
      <c r="AX19" s="481"/>
      <c r="AY19" s="481"/>
      <c r="AZ19" s="83" t="s">
        <v>532</v>
      </c>
      <c r="BA19" s="83" t="s">
        <v>48</v>
      </c>
      <c r="BB19" s="481"/>
      <c r="BF19" s="52"/>
    </row>
    <row r="20" spans="1:58" s="51" customFormat="1" ht="325.5">
      <c r="A20" s="328" t="s">
        <v>726</v>
      </c>
      <c r="B20" s="83" t="s">
        <v>715</v>
      </c>
      <c r="C20" s="83" t="s">
        <v>630</v>
      </c>
      <c r="D20" s="83" t="s">
        <v>60</v>
      </c>
      <c r="E20" s="83" t="s">
        <v>60</v>
      </c>
      <c r="F20" s="83" t="s">
        <v>629</v>
      </c>
      <c r="G20" s="83" t="s">
        <v>628</v>
      </c>
      <c r="H20" s="83" t="s">
        <v>159</v>
      </c>
      <c r="I20" s="83" t="s">
        <v>205</v>
      </c>
      <c r="J20" s="83" t="s">
        <v>178</v>
      </c>
      <c r="K20" s="83" t="s">
        <v>178</v>
      </c>
      <c r="L20" s="83" t="s">
        <v>74</v>
      </c>
      <c r="M20" s="83" t="s">
        <v>627</v>
      </c>
      <c r="N20" s="89" t="s">
        <v>626</v>
      </c>
      <c r="O20" s="89" t="s">
        <v>177</v>
      </c>
      <c r="P20" s="89" t="s">
        <v>74</v>
      </c>
      <c r="Q20" s="231" t="s">
        <v>548</v>
      </c>
      <c r="R20" s="89" t="s">
        <v>108</v>
      </c>
      <c r="S20" s="233">
        <v>0.8</v>
      </c>
      <c r="T20" s="130" t="s">
        <v>96</v>
      </c>
      <c r="U20" s="233">
        <v>0.6</v>
      </c>
      <c r="V20" s="85">
        <f t="shared" ref="V20:V30" si="1">+S20+U20</f>
        <v>1.4</v>
      </c>
      <c r="W20" s="85" t="s">
        <v>109</v>
      </c>
      <c r="X20" s="106" t="s">
        <v>625</v>
      </c>
      <c r="Y20" s="83" t="s">
        <v>118</v>
      </c>
      <c r="Z20" s="107">
        <v>0.25</v>
      </c>
      <c r="AA20" s="83" t="s">
        <v>43</v>
      </c>
      <c r="AB20" s="110">
        <v>0.15</v>
      </c>
      <c r="AC20" s="229">
        <v>0.4</v>
      </c>
      <c r="AD20" s="232">
        <v>0</v>
      </c>
      <c r="AE20" s="84" t="s">
        <v>44</v>
      </c>
      <c r="AF20" s="84" t="s">
        <v>126</v>
      </c>
      <c r="AG20" s="83" t="s">
        <v>129</v>
      </c>
      <c r="AH20" s="91" t="s">
        <v>135</v>
      </c>
      <c r="AI20" s="91"/>
      <c r="AJ20" s="91" t="s">
        <v>96</v>
      </c>
      <c r="AK20" s="85">
        <f>+VLOOKUP(AJ20,[6]Campos!$S$32:$T$39,2,FALSE)</f>
        <v>0.6</v>
      </c>
      <c r="AL20" s="86">
        <v>0.36</v>
      </c>
      <c r="AM20" s="85" t="str">
        <f>+VLOOKUP(AL20,[6]Campos!$W$23:$X$122,2,TRUE)</f>
        <v>Baja - 40%</v>
      </c>
      <c r="AN20" s="87">
        <f>+[6]Campos!L119</f>
        <v>0.6</v>
      </c>
      <c r="AO20" s="85" t="str">
        <f>+VLOOKUP(AN20,[6]Campos!$W$22:$Y$122,3,TRUE)</f>
        <v>3 Moderado</v>
      </c>
      <c r="AP20" s="88" t="s">
        <v>97</v>
      </c>
      <c r="AQ20" s="136" t="s">
        <v>98</v>
      </c>
      <c r="AR20" s="110" t="s">
        <v>624</v>
      </c>
      <c r="AS20" s="110" t="s">
        <v>623</v>
      </c>
      <c r="AT20" s="110" t="s">
        <v>622</v>
      </c>
      <c r="AU20" s="110" t="s">
        <v>157</v>
      </c>
      <c r="AV20" s="142">
        <v>45292</v>
      </c>
      <c r="AW20" s="142">
        <v>45638</v>
      </c>
      <c r="AX20" s="83" t="s">
        <v>451</v>
      </c>
      <c r="AY20" s="83" t="s">
        <v>450</v>
      </c>
      <c r="AZ20" s="83" t="s">
        <v>597</v>
      </c>
      <c r="BA20" s="83" t="s">
        <v>621</v>
      </c>
      <c r="BB20" s="83" t="s">
        <v>620</v>
      </c>
      <c r="BF20" s="52"/>
    </row>
    <row r="21" spans="1:58" s="51" customFormat="1" ht="325.5">
      <c r="A21" s="328" t="s">
        <v>727</v>
      </c>
      <c r="B21" s="83" t="s">
        <v>715</v>
      </c>
      <c r="C21" s="83" t="s">
        <v>528</v>
      </c>
      <c r="D21" s="83" t="s">
        <v>60</v>
      </c>
      <c r="E21" s="83" t="s">
        <v>60</v>
      </c>
      <c r="F21" s="83" t="s">
        <v>619</v>
      </c>
      <c r="G21" s="83" t="s">
        <v>717</v>
      </c>
      <c r="H21" s="83" t="s">
        <v>159</v>
      </c>
      <c r="I21" s="83" t="s">
        <v>205</v>
      </c>
      <c r="J21" s="83" t="s">
        <v>178</v>
      </c>
      <c r="K21" s="83" t="s">
        <v>178</v>
      </c>
      <c r="L21" s="83" t="s">
        <v>74</v>
      </c>
      <c r="M21" s="83" t="s">
        <v>618</v>
      </c>
      <c r="N21" s="89" t="s">
        <v>617</v>
      </c>
      <c r="O21" s="89" t="s">
        <v>177</v>
      </c>
      <c r="P21" s="89" t="s">
        <v>75</v>
      </c>
      <c r="Q21" s="231" t="s">
        <v>548</v>
      </c>
      <c r="R21" s="89" t="s">
        <v>108</v>
      </c>
      <c r="S21" s="233">
        <v>0.8</v>
      </c>
      <c r="T21" s="130" t="s">
        <v>96</v>
      </c>
      <c r="U21" s="233">
        <v>0.6</v>
      </c>
      <c r="V21" s="85">
        <f t="shared" si="1"/>
        <v>1.4</v>
      </c>
      <c r="W21" s="85" t="s">
        <v>109</v>
      </c>
      <c r="X21" s="106" t="s">
        <v>616</v>
      </c>
      <c r="Y21" s="83" t="s">
        <v>118</v>
      </c>
      <c r="Z21" s="107">
        <v>0.25</v>
      </c>
      <c r="AA21" s="83" t="s">
        <v>43</v>
      </c>
      <c r="AB21" s="110">
        <v>0.15</v>
      </c>
      <c r="AC21" s="229">
        <v>0.4</v>
      </c>
      <c r="AD21" s="232">
        <v>0</v>
      </c>
      <c r="AE21" s="84" t="s">
        <v>44</v>
      </c>
      <c r="AF21" s="84" t="s">
        <v>126</v>
      </c>
      <c r="AG21" s="83" t="s">
        <v>129</v>
      </c>
      <c r="AH21" s="91" t="s">
        <v>135</v>
      </c>
      <c r="AI21" s="91"/>
      <c r="AJ21" s="91" t="s">
        <v>96</v>
      </c>
      <c r="AK21" s="85">
        <f>+VLOOKUP(AJ21,[6]Campos!$S$32:$T$39,2,FALSE)</f>
        <v>0.6</v>
      </c>
      <c r="AL21" s="86">
        <v>0.36</v>
      </c>
      <c r="AM21" s="85" t="str">
        <f>+VLOOKUP(AL21,[6]Campos!$W$23:$X$122,2,TRUE)</f>
        <v>Baja - 40%</v>
      </c>
      <c r="AN21" s="87">
        <f>+[6]Campos!L120</f>
        <v>0.6</v>
      </c>
      <c r="AO21" s="85" t="str">
        <f>+VLOOKUP(AN21,[6]Campos!$W$22:$Y$122,3,TRUE)</f>
        <v>3 Moderado</v>
      </c>
      <c r="AP21" s="88" t="s">
        <v>97</v>
      </c>
      <c r="AQ21" s="136" t="s">
        <v>98</v>
      </c>
      <c r="AR21" s="110" t="s">
        <v>615</v>
      </c>
      <c r="AS21" s="83" t="s">
        <v>614</v>
      </c>
      <c r="AT21" s="110" t="s">
        <v>518</v>
      </c>
      <c r="AU21" s="110" t="s">
        <v>157</v>
      </c>
      <c r="AV21" s="142">
        <v>45292</v>
      </c>
      <c r="AW21" s="142">
        <v>45638</v>
      </c>
      <c r="AX21" s="83" t="s">
        <v>451</v>
      </c>
      <c r="AY21" s="83" t="s">
        <v>450</v>
      </c>
      <c r="AZ21" s="83" t="s">
        <v>597</v>
      </c>
      <c r="BA21" s="83" t="s">
        <v>448</v>
      </c>
      <c r="BB21" s="83" t="s">
        <v>508</v>
      </c>
      <c r="BF21" s="52"/>
    </row>
    <row r="22" spans="1:58" s="51" customFormat="1" ht="133.5" customHeight="1">
      <c r="A22" s="328" t="s">
        <v>728</v>
      </c>
      <c r="B22" s="83" t="s">
        <v>715</v>
      </c>
      <c r="C22" s="83" t="s">
        <v>528</v>
      </c>
      <c r="D22" s="83" t="s">
        <v>60</v>
      </c>
      <c r="E22" s="83" t="s">
        <v>60</v>
      </c>
      <c r="F22" s="83" t="s">
        <v>613</v>
      </c>
      <c r="G22" s="83" t="s">
        <v>612</v>
      </c>
      <c r="H22" s="83" t="s">
        <v>159</v>
      </c>
      <c r="I22" s="83" t="s">
        <v>205</v>
      </c>
      <c r="J22" s="83" t="s">
        <v>178</v>
      </c>
      <c r="K22" s="83" t="s">
        <v>178</v>
      </c>
      <c r="L22" s="83" t="s">
        <v>74</v>
      </c>
      <c r="M22" s="83" t="s">
        <v>611</v>
      </c>
      <c r="N22" s="89" t="s">
        <v>610</v>
      </c>
      <c r="O22" s="89" t="s">
        <v>177</v>
      </c>
      <c r="P22" s="89" t="s">
        <v>74</v>
      </c>
      <c r="Q22" s="231" t="s">
        <v>548</v>
      </c>
      <c r="R22" s="89" t="s">
        <v>108</v>
      </c>
      <c r="S22" s="233">
        <v>0.8</v>
      </c>
      <c r="T22" s="130" t="s">
        <v>99</v>
      </c>
      <c r="U22" s="228">
        <v>1</v>
      </c>
      <c r="V22" s="85">
        <f t="shared" si="1"/>
        <v>1.8</v>
      </c>
      <c r="W22" s="85" t="s">
        <v>100</v>
      </c>
      <c r="X22" s="106" t="s">
        <v>609</v>
      </c>
      <c r="Y22" s="83" t="s">
        <v>118</v>
      </c>
      <c r="Z22" s="107">
        <v>0.25</v>
      </c>
      <c r="AA22" s="83" t="s">
        <v>43</v>
      </c>
      <c r="AB22" s="110">
        <v>0.15</v>
      </c>
      <c r="AC22" s="229">
        <v>0.4</v>
      </c>
      <c r="AD22" s="232">
        <v>0</v>
      </c>
      <c r="AE22" s="84" t="s">
        <v>44</v>
      </c>
      <c r="AF22" s="84" t="s">
        <v>126</v>
      </c>
      <c r="AG22" s="83" t="s">
        <v>129</v>
      </c>
      <c r="AH22" s="91" t="s">
        <v>135</v>
      </c>
      <c r="AI22" s="91"/>
      <c r="AJ22" s="91" t="s">
        <v>101</v>
      </c>
      <c r="AK22" s="85">
        <f>+VLOOKUP(AJ22,[6]Campos!$S$32:$T$39,2,FALSE)</f>
        <v>1</v>
      </c>
      <c r="AL22" s="86">
        <v>0.36</v>
      </c>
      <c r="AM22" s="85" t="str">
        <f>+VLOOKUP(AL22,[6]Campos!$W$23:$X$122,2,TRUE)</f>
        <v>Baja - 40%</v>
      </c>
      <c r="AN22" s="87">
        <v>0.8</v>
      </c>
      <c r="AO22" s="85" t="str">
        <f>+VLOOKUP(AN22,[6]Campos!$W$22:$Y$122,3,TRUE)</f>
        <v>4 Mayor</v>
      </c>
      <c r="AP22" s="88" t="s">
        <v>100</v>
      </c>
      <c r="AQ22" s="136" t="s">
        <v>98</v>
      </c>
      <c r="AR22" s="110" t="s">
        <v>608</v>
      </c>
      <c r="AS22" s="110" t="s">
        <v>607</v>
      </c>
      <c r="AT22" s="110" t="s">
        <v>518</v>
      </c>
      <c r="AU22" s="110" t="s">
        <v>48</v>
      </c>
      <c r="AV22" s="142">
        <v>45292</v>
      </c>
      <c r="AW22" s="142">
        <v>45638</v>
      </c>
      <c r="AX22" s="83" t="s">
        <v>451</v>
      </c>
      <c r="AY22" s="83" t="s">
        <v>450</v>
      </c>
      <c r="AZ22" s="83" t="s">
        <v>597</v>
      </c>
      <c r="BA22" s="83" t="s">
        <v>448</v>
      </c>
      <c r="BB22" s="83" t="s">
        <v>508</v>
      </c>
      <c r="BF22" s="52"/>
    </row>
    <row r="23" spans="1:58" s="51" customFormat="1" ht="128.25" customHeight="1">
      <c r="A23" s="328" t="s">
        <v>729</v>
      </c>
      <c r="B23" s="83" t="s">
        <v>715</v>
      </c>
      <c r="C23" s="83" t="s">
        <v>606</v>
      </c>
      <c r="D23" s="83" t="s">
        <v>60</v>
      </c>
      <c r="E23" s="83" t="s">
        <v>60</v>
      </c>
      <c r="F23" s="83" t="s">
        <v>605</v>
      </c>
      <c r="G23" s="83" t="s">
        <v>604</v>
      </c>
      <c r="H23" s="83" t="s">
        <v>159</v>
      </c>
      <c r="I23" s="83" t="s">
        <v>205</v>
      </c>
      <c r="J23" s="83" t="s">
        <v>178</v>
      </c>
      <c r="K23" s="83" t="s">
        <v>178</v>
      </c>
      <c r="L23" s="83" t="s">
        <v>74</v>
      </c>
      <c r="M23" s="83" t="s">
        <v>603</v>
      </c>
      <c r="N23" s="89" t="s">
        <v>602</v>
      </c>
      <c r="O23" s="89" t="s">
        <v>177</v>
      </c>
      <c r="P23" s="89" t="s">
        <v>74</v>
      </c>
      <c r="Q23" s="231" t="s">
        <v>548</v>
      </c>
      <c r="R23" s="89" t="s">
        <v>108</v>
      </c>
      <c r="S23" s="233">
        <v>0.8</v>
      </c>
      <c r="T23" s="130" t="s">
        <v>94</v>
      </c>
      <c r="U23" s="228">
        <v>0.4</v>
      </c>
      <c r="V23" s="85">
        <f t="shared" si="1"/>
        <v>1.2000000000000002</v>
      </c>
      <c r="W23" s="85" t="s">
        <v>106</v>
      </c>
      <c r="X23" s="106" t="s">
        <v>601</v>
      </c>
      <c r="Y23" s="83" t="s">
        <v>118</v>
      </c>
      <c r="Z23" s="107">
        <v>0.25</v>
      </c>
      <c r="AA23" s="83" t="s">
        <v>43</v>
      </c>
      <c r="AB23" s="110">
        <v>0.15</v>
      </c>
      <c r="AC23" s="229">
        <v>0.4</v>
      </c>
      <c r="AD23" s="232">
        <v>0</v>
      </c>
      <c r="AE23" s="84" t="s">
        <v>44</v>
      </c>
      <c r="AF23" s="84" t="s">
        <v>126</v>
      </c>
      <c r="AG23" s="83" t="s">
        <v>129</v>
      </c>
      <c r="AH23" s="91" t="s">
        <v>135</v>
      </c>
      <c r="AI23" s="91"/>
      <c r="AJ23" s="91" t="s">
        <v>96</v>
      </c>
      <c r="AK23" s="85">
        <f>+VLOOKUP(AJ23,[6]Campos!$S$32:$T$39,2,FALSE)</f>
        <v>0.6</v>
      </c>
      <c r="AL23" s="86">
        <v>0.36</v>
      </c>
      <c r="AM23" s="85" t="str">
        <f>+VLOOKUP(AL23,[6]Campos!$W$23:$X$122,2,TRUE)</f>
        <v>Baja - 40%</v>
      </c>
      <c r="AN23" s="87">
        <f>+[6]Campos!L122</f>
        <v>0.6</v>
      </c>
      <c r="AO23" s="85" t="str">
        <f>+VLOOKUP(AN23,[6]Campos!$W$22:$Y$122,3,TRUE)</f>
        <v>3 Moderado</v>
      </c>
      <c r="AP23" s="88" t="s">
        <v>97</v>
      </c>
      <c r="AQ23" s="136" t="s">
        <v>98</v>
      </c>
      <c r="AR23" s="110" t="s">
        <v>600</v>
      </c>
      <c r="AS23" s="110" t="s">
        <v>599</v>
      </c>
      <c r="AT23" s="110" t="s">
        <v>598</v>
      </c>
      <c r="AU23" s="110" t="s">
        <v>157</v>
      </c>
      <c r="AV23" s="142">
        <v>45292</v>
      </c>
      <c r="AW23" s="142">
        <v>45638</v>
      </c>
      <c r="AX23" s="83" t="s">
        <v>451</v>
      </c>
      <c r="AY23" s="83" t="s">
        <v>450</v>
      </c>
      <c r="AZ23" s="83" t="s">
        <v>597</v>
      </c>
      <c r="BA23" s="83" t="s">
        <v>596</v>
      </c>
      <c r="BB23" s="83" t="s">
        <v>508</v>
      </c>
      <c r="BF23" s="52"/>
    </row>
    <row r="24" spans="1:58" s="51" customFormat="1" ht="105" customHeight="1">
      <c r="A24" s="328" t="s">
        <v>730</v>
      </c>
      <c r="B24" s="83" t="s">
        <v>715</v>
      </c>
      <c r="C24" s="83" t="s">
        <v>507</v>
      </c>
      <c r="D24" s="83" t="s">
        <v>59</v>
      </c>
      <c r="E24" s="83" t="s">
        <v>59</v>
      </c>
      <c r="F24" s="83" t="s">
        <v>595</v>
      </c>
      <c r="G24" s="83" t="s">
        <v>594</v>
      </c>
      <c r="H24" s="83" t="s">
        <v>159</v>
      </c>
      <c r="I24" s="83" t="s">
        <v>205</v>
      </c>
      <c r="J24" s="83" t="s">
        <v>178</v>
      </c>
      <c r="K24" s="83" t="s">
        <v>178</v>
      </c>
      <c r="L24" s="83" t="s">
        <v>74</v>
      </c>
      <c r="M24" s="83" t="s">
        <v>593</v>
      </c>
      <c r="N24" s="89" t="s">
        <v>592</v>
      </c>
      <c r="O24" s="89" t="s">
        <v>457</v>
      </c>
      <c r="P24" s="89" t="s">
        <v>74</v>
      </c>
      <c r="Q24" s="231" t="s">
        <v>558</v>
      </c>
      <c r="R24" s="89" t="s">
        <v>108</v>
      </c>
      <c r="S24" s="233">
        <v>0.8</v>
      </c>
      <c r="T24" s="130" t="s">
        <v>99</v>
      </c>
      <c r="U24" s="228">
        <v>0.8</v>
      </c>
      <c r="V24" s="85">
        <f t="shared" si="1"/>
        <v>1.6</v>
      </c>
      <c r="W24" s="85" t="s">
        <v>100</v>
      </c>
      <c r="X24" s="106" t="s">
        <v>591</v>
      </c>
      <c r="Y24" s="83" t="s">
        <v>118</v>
      </c>
      <c r="Z24" s="107">
        <v>0.25</v>
      </c>
      <c r="AA24" s="83" t="s">
        <v>43</v>
      </c>
      <c r="AB24" s="110">
        <v>0.15</v>
      </c>
      <c r="AC24" s="229">
        <v>0.4</v>
      </c>
      <c r="AD24" s="232">
        <v>0</v>
      </c>
      <c r="AE24" s="84" t="s">
        <v>44</v>
      </c>
      <c r="AF24" s="84" t="s">
        <v>126</v>
      </c>
      <c r="AG24" s="83" t="s">
        <v>129</v>
      </c>
      <c r="AH24" s="91" t="s">
        <v>46</v>
      </c>
      <c r="AI24" s="91"/>
      <c r="AJ24" s="91" t="s">
        <v>99</v>
      </c>
      <c r="AK24" s="85">
        <f>+VLOOKUP(AJ24,[6]Campos!$S$32:$T$39,2,FALSE)</f>
        <v>0.8</v>
      </c>
      <c r="AL24" s="86">
        <v>0.36</v>
      </c>
      <c r="AM24" s="85" t="str">
        <f>+VLOOKUP(AL24,[6]Campos!$W$23:$X$122,2,TRUE)</f>
        <v>Baja - 40%</v>
      </c>
      <c r="AN24" s="87">
        <f>+[6]Campos!L123</f>
        <v>0.8</v>
      </c>
      <c r="AO24" s="85" t="str">
        <f>+VLOOKUP(AN24,[6]Campos!$W$22:$Y$122,3,TRUE)</f>
        <v>4 Mayor</v>
      </c>
      <c r="AP24" s="88" t="s">
        <v>100</v>
      </c>
      <c r="AQ24" s="136" t="s">
        <v>98</v>
      </c>
      <c r="AR24" s="110" t="s">
        <v>590</v>
      </c>
      <c r="AS24" s="110" t="s">
        <v>589</v>
      </c>
      <c r="AT24" s="110" t="s">
        <v>588</v>
      </c>
      <c r="AU24" s="110" t="s">
        <v>157</v>
      </c>
      <c r="AV24" s="142">
        <v>45292</v>
      </c>
      <c r="AW24" s="142">
        <v>45638</v>
      </c>
      <c r="AX24" s="83" t="s">
        <v>451</v>
      </c>
      <c r="AY24" s="83" t="s">
        <v>450</v>
      </c>
      <c r="AZ24" s="83" t="s">
        <v>497</v>
      </c>
      <c r="BA24" s="83" t="s">
        <v>469</v>
      </c>
      <c r="BB24" s="83" t="s">
        <v>571</v>
      </c>
      <c r="BF24" s="52"/>
    </row>
    <row r="25" spans="1:58" s="51" customFormat="1" ht="104.25" customHeight="1">
      <c r="A25" s="328" t="s">
        <v>731</v>
      </c>
      <c r="B25" s="83" t="s">
        <v>715</v>
      </c>
      <c r="C25" s="83" t="s">
        <v>462</v>
      </c>
      <c r="D25" s="83" t="s">
        <v>59</v>
      </c>
      <c r="E25" s="83" t="s">
        <v>59</v>
      </c>
      <c r="F25" s="83" t="s">
        <v>587</v>
      </c>
      <c r="G25" s="83" t="s">
        <v>586</v>
      </c>
      <c r="H25" s="83" t="s">
        <v>159</v>
      </c>
      <c r="I25" s="83" t="s">
        <v>205</v>
      </c>
      <c r="J25" s="83" t="s">
        <v>178</v>
      </c>
      <c r="K25" s="83" t="s">
        <v>178</v>
      </c>
      <c r="L25" s="83" t="s">
        <v>74</v>
      </c>
      <c r="M25" s="83" t="s">
        <v>585</v>
      </c>
      <c r="N25" s="89" t="s">
        <v>584</v>
      </c>
      <c r="O25" s="89" t="s">
        <v>177</v>
      </c>
      <c r="P25" s="89" t="s">
        <v>74</v>
      </c>
      <c r="Q25" s="231" t="s">
        <v>548</v>
      </c>
      <c r="R25" s="89" t="s">
        <v>42</v>
      </c>
      <c r="S25" s="233">
        <v>0.6</v>
      </c>
      <c r="T25" s="130" t="s">
        <v>96</v>
      </c>
      <c r="U25" s="228">
        <v>0.6</v>
      </c>
      <c r="V25" s="85">
        <f t="shared" si="1"/>
        <v>1.2</v>
      </c>
      <c r="W25" s="134" t="s">
        <v>97</v>
      </c>
      <c r="X25" s="106" t="s">
        <v>583</v>
      </c>
      <c r="Y25" s="83" t="s">
        <v>118</v>
      </c>
      <c r="Z25" s="107">
        <v>0.25</v>
      </c>
      <c r="AA25" s="83" t="s">
        <v>43</v>
      </c>
      <c r="AB25" s="110">
        <v>0.15</v>
      </c>
      <c r="AC25" s="229">
        <v>0.4</v>
      </c>
      <c r="AD25" s="232">
        <v>0</v>
      </c>
      <c r="AE25" s="84" t="s">
        <v>44</v>
      </c>
      <c r="AF25" s="84" t="s">
        <v>126</v>
      </c>
      <c r="AG25" s="83" t="s">
        <v>129</v>
      </c>
      <c r="AH25" s="91" t="s">
        <v>135</v>
      </c>
      <c r="AI25" s="91"/>
      <c r="AJ25" s="91" t="s">
        <v>96</v>
      </c>
      <c r="AK25" s="85">
        <f>+VLOOKUP(AJ25,[6]Campos!$S$32:$T$39,2,FALSE)</f>
        <v>0.6</v>
      </c>
      <c r="AL25" s="86">
        <v>0.36</v>
      </c>
      <c r="AM25" s="85" t="str">
        <f>+VLOOKUP(AL25,[6]Campos!$W$23:$X$122,2,TRUE)</f>
        <v>Baja - 40%</v>
      </c>
      <c r="AN25" s="87">
        <f>+[6]Campos!L124</f>
        <v>0.6</v>
      </c>
      <c r="AO25" s="85" t="str">
        <f>+VLOOKUP(AN25,[6]Campos!$W$22:$Y$122,3,TRUE)</f>
        <v>3 Moderado</v>
      </c>
      <c r="AP25" s="88" t="s">
        <v>97</v>
      </c>
      <c r="AQ25" s="136" t="s">
        <v>98</v>
      </c>
      <c r="AR25" s="110" t="s">
        <v>582</v>
      </c>
      <c r="AS25" s="110" t="s">
        <v>581</v>
      </c>
      <c r="AT25" s="110" t="s">
        <v>580</v>
      </c>
      <c r="AU25" s="110" t="s">
        <v>48</v>
      </c>
      <c r="AV25" s="142">
        <v>45292</v>
      </c>
      <c r="AW25" s="142">
        <v>45638</v>
      </c>
      <c r="AX25" s="83" t="s">
        <v>451</v>
      </c>
      <c r="AY25" s="83" t="s">
        <v>450</v>
      </c>
      <c r="AZ25" s="83" t="s">
        <v>579</v>
      </c>
      <c r="BA25" s="83" t="s">
        <v>448</v>
      </c>
      <c r="BB25" s="83" t="s">
        <v>571</v>
      </c>
      <c r="BF25" s="52"/>
    </row>
    <row r="26" spans="1:58" s="51" customFormat="1" ht="118" customHeight="1">
      <c r="A26" s="328" t="s">
        <v>732</v>
      </c>
      <c r="B26" s="83" t="s">
        <v>715</v>
      </c>
      <c r="C26" s="83" t="s">
        <v>462</v>
      </c>
      <c r="D26" s="83" t="s">
        <v>59</v>
      </c>
      <c r="E26" s="83" t="s">
        <v>59</v>
      </c>
      <c r="F26" s="83" t="s">
        <v>578</v>
      </c>
      <c r="G26" s="83" t="s">
        <v>577</v>
      </c>
      <c r="H26" s="83" t="s">
        <v>159</v>
      </c>
      <c r="I26" s="83" t="s">
        <v>205</v>
      </c>
      <c r="J26" s="83" t="s">
        <v>178</v>
      </c>
      <c r="K26" s="83" t="s">
        <v>178</v>
      </c>
      <c r="L26" s="83" t="s">
        <v>74</v>
      </c>
      <c r="M26" s="83" t="s">
        <v>459</v>
      </c>
      <c r="N26" s="89" t="s">
        <v>458</v>
      </c>
      <c r="O26" s="89" t="s">
        <v>177</v>
      </c>
      <c r="P26" s="89" t="s">
        <v>74</v>
      </c>
      <c r="Q26" s="231" t="s">
        <v>548</v>
      </c>
      <c r="R26" s="89" t="s">
        <v>42</v>
      </c>
      <c r="S26" s="233">
        <v>0.6</v>
      </c>
      <c r="T26" s="130" t="s">
        <v>96</v>
      </c>
      <c r="U26" s="228">
        <v>0.6</v>
      </c>
      <c r="V26" s="85">
        <f t="shared" si="1"/>
        <v>1.2</v>
      </c>
      <c r="W26" s="134" t="s">
        <v>97</v>
      </c>
      <c r="X26" s="106" t="s">
        <v>576</v>
      </c>
      <c r="Y26" s="83" t="s">
        <v>118</v>
      </c>
      <c r="Z26" s="107">
        <v>0.25</v>
      </c>
      <c r="AA26" s="83" t="s">
        <v>43</v>
      </c>
      <c r="AB26" s="110">
        <v>0.15</v>
      </c>
      <c r="AC26" s="229">
        <v>0.4</v>
      </c>
      <c r="AD26" s="232">
        <v>0</v>
      </c>
      <c r="AE26" s="84" t="s">
        <v>44</v>
      </c>
      <c r="AF26" s="84" t="s">
        <v>126</v>
      </c>
      <c r="AG26" s="83" t="s">
        <v>129</v>
      </c>
      <c r="AH26" s="91" t="s">
        <v>135</v>
      </c>
      <c r="AI26" s="91"/>
      <c r="AJ26" s="91" t="s">
        <v>96</v>
      </c>
      <c r="AK26" s="85">
        <f>+VLOOKUP(AJ26,[6]Campos!$S$32:$T$39,2,FALSE)</f>
        <v>0.6</v>
      </c>
      <c r="AL26" s="86">
        <v>0.36</v>
      </c>
      <c r="AM26" s="85" t="str">
        <f>+VLOOKUP(AL26,[6]Campos!$W$23:$X$122,2,TRUE)</f>
        <v>Baja - 40%</v>
      </c>
      <c r="AN26" s="87">
        <f>+[6]Campos!L126</f>
        <v>0.6</v>
      </c>
      <c r="AO26" s="85" t="str">
        <f>+VLOOKUP(AN26,[6]Campos!$W$22:$Y$122,3,TRUE)</f>
        <v>3 Moderado</v>
      </c>
      <c r="AP26" s="88" t="s">
        <v>97</v>
      </c>
      <c r="AQ26" s="136" t="s">
        <v>98</v>
      </c>
      <c r="AR26" s="110" t="s">
        <v>575</v>
      </c>
      <c r="AS26" s="110" t="s">
        <v>574</v>
      </c>
      <c r="AT26" s="110" t="s">
        <v>573</v>
      </c>
      <c r="AU26" s="110" t="s">
        <v>157</v>
      </c>
      <c r="AV26" s="142">
        <v>45292</v>
      </c>
      <c r="AW26" s="142">
        <v>45638</v>
      </c>
      <c r="AX26" s="83" t="s">
        <v>451</v>
      </c>
      <c r="AY26" s="83" t="s">
        <v>450</v>
      </c>
      <c r="AZ26" s="83" t="s">
        <v>572</v>
      </c>
      <c r="BA26" s="83" t="s">
        <v>448</v>
      </c>
      <c r="BB26" s="83" t="s">
        <v>571</v>
      </c>
      <c r="BF26" s="52"/>
    </row>
    <row r="27" spans="1:58" s="51" customFormat="1" ht="96.75" customHeight="1">
      <c r="A27" s="328" t="s">
        <v>733</v>
      </c>
      <c r="B27" s="83" t="s">
        <v>715</v>
      </c>
      <c r="C27" s="83" t="s">
        <v>563</v>
      </c>
      <c r="D27" s="83" t="s">
        <v>59</v>
      </c>
      <c r="E27" s="83" t="s">
        <v>59</v>
      </c>
      <c r="F27" s="83" t="s">
        <v>570</v>
      </c>
      <c r="G27" s="83" t="s">
        <v>569</v>
      </c>
      <c r="H27" s="83" t="s">
        <v>159</v>
      </c>
      <c r="I27" s="83" t="s">
        <v>205</v>
      </c>
      <c r="J27" s="83" t="s">
        <v>178</v>
      </c>
      <c r="K27" s="83" t="s">
        <v>178</v>
      </c>
      <c r="L27" s="83" t="s">
        <v>74</v>
      </c>
      <c r="M27" s="83" t="s">
        <v>568</v>
      </c>
      <c r="N27" s="89" t="s">
        <v>567</v>
      </c>
      <c r="O27" s="89" t="s">
        <v>177</v>
      </c>
      <c r="P27" s="89" t="s">
        <v>74</v>
      </c>
      <c r="Q27" s="231" t="s">
        <v>558</v>
      </c>
      <c r="R27" s="89" t="s">
        <v>42</v>
      </c>
      <c r="S27" s="233">
        <v>0.6</v>
      </c>
      <c r="T27" s="130" t="s">
        <v>96</v>
      </c>
      <c r="U27" s="228">
        <v>0.6</v>
      </c>
      <c r="V27" s="85">
        <f t="shared" si="1"/>
        <v>1.2</v>
      </c>
      <c r="W27" s="134" t="s">
        <v>97</v>
      </c>
      <c r="X27" s="106" t="s">
        <v>566</v>
      </c>
      <c r="Y27" s="83" t="s">
        <v>118</v>
      </c>
      <c r="Z27" s="107">
        <v>0.25</v>
      </c>
      <c r="AA27" s="83" t="s">
        <v>43</v>
      </c>
      <c r="AB27" s="110">
        <v>0.15</v>
      </c>
      <c r="AC27" s="229">
        <v>0.4</v>
      </c>
      <c r="AD27" s="232">
        <v>0</v>
      </c>
      <c r="AE27" s="84" t="s">
        <v>44</v>
      </c>
      <c r="AF27" s="84" t="s">
        <v>126</v>
      </c>
      <c r="AG27" s="83" t="s">
        <v>129</v>
      </c>
      <c r="AH27" s="91" t="s">
        <v>135</v>
      </c>
      <c r="AI27" s="91"/>
      <c r="AJ27" s="91" t="s">
        <v>96</v>
      </c>
      <c r="AK27" s="85">
        <f>+VLOOKUP(AJ27,[6]Campos!$S$32:$T$39,2,FALSE)</f>
        <v>0.6</v>
      </c>
      <c r="AL27" s="86">
        <v>0.36</v>
      </c>
      <c r="AM27" s="85" t="str">
        <f>+VLOOKUP(AL27,[6]Campos!$W$23:$X$122,2,TRUE)</f>
        <v>Baja - 40%</v>
      </c>
      <c r="AN27" s="87">
        <f>+[6]Campos!L127</f>
        <v>0.6</v>
      </c>
      <c r="AO27" s="85" t="str">
        <f>+VLOOKUP(AN27,[6]Campos!$W$22:$Y$122,3,TRUE)</f>
        <v>3 Moderado</v>
      </c>
      <c r="AP27" s="88" t="s">
        <v>97</v>
      </c>
      <c r="AQ27" s="136" t="s">
        <v>98</v>
      </c>
      <c r="AR27" s="110" t="s">
        <v>565</v>
      </c>
      <c r="AS27" s="110" t="s">
        <v>564</v>
      </c>
      <c r="AT27" s="110" t="s">
        <v>555</v>
      </c>
      <c r="AU27" s="110" t="s">
        <v>157</v>
      </c>
      <c r="AV27" s="142">
        <v>45292</v>
      </c>
      <c r="AW27" s="142">
        <v>45638</v>
      </c>
      <c r="AX27" s="83" t="s">
        <v>451</v>
      </c>
      <c r="AY27" s="83" t="s">
        <v>450</v>
      </c>
      <c r="AZ27" s="83" t="s">
        <v>555</v>
      </c>
      <c r="BA27" s="83" t="s">
        <v>469</v>
      </c>
      <c r="BB27" s="83" t="s">
        <v>554</v>
      </c>
      <c r="BF27" s="52"/>
    </row>
    <row r="28" spans="1:58" s="51" customFormat="1" ht="94.5" customHeight="1">
      <c r="A28" s="328" t="s">
        <v>734</v>
      </c>
      <c r="B28" s="83" t="s">
        <v>715</v>
      </c>
      <c r="C28" s="83" t="s">
        <v>563</v>
      </c>
      <c r="D28" s="83" t="s">
        <v>59</v>
      </c>
      <c r="E28" s="83" t="s">
        <v>59</v>
      </c>
      <c r="F28" s="83" t="s">
        <v>562</v>
      </c>
      <c r="G28" s="83" t="s">
        <v>561</v>
      </c>
      <c r="H28" s="83" t="s">
        <v>159</v>
      </c>
      <c r="I28" s="83" t="s">
        <v>205</v>
      </c>
      <c r="J28" s="83" t="s">
        <v>178</v>
      </c>
      <c r="K28" s="83" t="s">
        <v>178</v>
      </c>
      <c r="L28" s="83" t="s">
        <v>74</v>
      </c>
      <c r="M28" s="83" t="s">
        <v>560</v>
      </c>
      <c r="N28" s="89" t="s">
        <v>559</v>
      </c>
      <c r="O28" s="89" t="s">
        <v>177</v>
      </c>
      <c r="P28" s="89" t="s">
        <v>74</v>
      </c>
      <c r="Q28" s="231" t="s">
        <v>558</v>
      </c>
      <c r="R28" s="89" t="s">
        <v>42</v>
      </c>
      <c r="S28" s="233">
        <v>0.6</v>
      </c>
      <c r="T28" s="130" t="s">
        <v>99</v>
      </c>
      <c r="U28" s="228">
        <v>0.8</v>
      </c>
      <c r="V28" s="85">
        <f t="shared" si="1"/>
        <v>1.4</v>
      </c>
      <c r="W28" s="85" t="s">
        <v>100</v>
      </c>
      <c r="X28" s="106" t="s">
        <v>718</v>
      </c>
      <c r="Y28" s="83" t="s">
        <v>118</v>
      </c>
      <c r="Z28" s="107">
        <v>0.25</v>
      </c>
      <c r="AA28" s="83" t="s">
        <v>43</v>
      </c>
      <c r="AB28" s="110">
        <v>0.15</v>
      </c>
      <c r="AC28" s="229">
        <v>0.4</v>
      </c>
      <c r="AD28" s="232">
        <v>0</v>
      </c>
      <c r="AE28" s="84" t="s">
        <v>44</v>
      </c>
      <c r="AF28" s="84" t="s">
        <v>126</v>
      </c>
      <c r="AG28" s="83" t="s">
        <v>129</v>
      </c>
      <c r="AH28" s="91" t="s">
        <v>135</v>
      </c>
      <c r="AI28" s="91"/>
      <c r="AJ28" s="91" t="s">
        <v>99</v>
      </c>
      <c r="AK28" s="85">
        <f>+VLOOKUP(AJ28,[6]Campos!$S$32:$T$39,2,FALSE)</f>
        <v>0.8</v>
      </c>
      <c r="AL28" s="86">
        <v>0.36</v>
      </c>
      <c r="AM28" s="85" t="str">
        <f>+VLOOKUP(AL28,[6]Campos!$W$23:$X$122,2,TRUE)</f>
        <v>Baja - 40%</v>
      </c>
      <c r="AN28" s="87">
        <f>+[6]Campos!L128</f>
        <v>0.8</v>
      </c>
      <c r="AO28" s="85" t="str">
        <f>+VLOOKUP(AN28,[6]Campos!$W$22:$Y$122,3,TRUE)</f>
        <v>4 Mayor</v>
      </c>
      <c r="AP28" s="88" t="s">
        <v>100</v>
      </c>
      <c r="AQ28" s="136" t="s">
        <v>98</v>
      </c>
      <c r="AR28" s="110" t="s">
        <v>557</v>
      </c>
      <c r="AS28" s="110" t="s">
        <v>556</v>
      </c>
      <c r="AT28" s="110" t="s">
        <v>555</v>
      </c>
      <c r="AU28" s="110" t="s">
        <v>157</v>
      </c>
      <c r="AV28" s="142">
        <v>45292</v>
      </c>
      <c r="AW28" s="142">
        <v>45638</v>
      </c>
      <c r="AX28" s="83" t="s">
        <v>451</v>
      </c>
      <c r="AY28" s="83" t="s">
        <v>450</v>
      </c>
      <c r="AZ28" s="83" t="s">
        <v>555</v>
      </c>
      <c r="BA28" s="83" t="s">
        <v>469</v>
      </c>
      <c r="BB28" s="83" t="s">
        <v>554</v>
      </c>
      <c r="BF28" s="52"/>
    </row>
    <row r="29" spans="1:58" s="51" customFormat="1" ht="114" customHeight="1">
      <c r="A29" s="328" t="s">
        <v>735</v>
      </c>
      <c r="B29" s="83" t="s">
        <v>715</v>
      </c>
      <c r="C29" s="83" t="s">
        <v>553</v>
      </c>
      <c r="D29" s="83" t="s">
        <v>59</v>
      </c>
      <c r="E29" s="83" t="s">
        <v>59</v>
      </c>
      <c r="F29" s="83" t="s">
        <v>552</v>
      </c>
      <c r="G29" s="83" t="s">
        <v>551</v>
      </c>
      <c r="H29" s="83" t="s">
        <v>159</v>
      </c>
      <c r="I29" s="83" t="s">
        <v>205</v>
      </c>
      <c r="J29" s="83" t="s">
        <v>178</v>
      </c>
      <c r="K29" s="83" t="s">
        <v>178</v>
      </c>
      <c r="L29" s="83" t="s">
        <v>74</v>
      </c>
      <c r="M29" s="83" t="s">
        <v>550</v>
      </c>
      <c r="N29" s="89" t="s">
        <v>549</v>
      </c>
      <c r="O29" s="89" t="s">
        <v>177</v>
      </c>
      <c r="P29" s="89" t="s">
        <v>74</v>
      </c>
      <c r="Q29" s="231" t="s">
        <v>548</v>
      </c>
      <c r="R29" s="89" t="s">
        <v>104</v>
      </c>
      <c r="S29" s="233">
        <v>0.4</v>
      </c>
      <c r="T29" s="130" t="s">
        <v>96</v>
      </c>
      <c r="U29" s="228">
        <v>0.6</v>
      </c>
      <c r="V29" s="236">
        <f t="shared" si="1"/>
        <v>1</v>
      </c>
      <c r="W29" s="85" t="s">
        <v>97</v>
      </c>
      <c r="X29" s="106" t="s">
        <v>547</v>
      </c>
      <c r="Y29" s="83" t="s">
        <v>118</v>
      </c>
      <c r="Z29" s="107">
        <v>0.25</v>
      </c>
      <c r="AA29" s="83" t="s">
        <v>43</v>
      </c>
      <c r="AB29" s="110">
        <v>0.15</v>
      </c>
      <c r="AC29" s="229">
        <v>0.4</v>
      </c>
      <c r="AD29" s="232">
        <v>0</v>
      </c>
      <c r="AE29" s="84" t="s">
        <v>44</v>
      </c>
      <c r="AF29" s="84" t="s">
        <v>126</v>
      </c>
      <c r="AG29" s="83" t="s">
        <v>129</v>
      </c>
      <c r="AH29" s="91" t="s">
        <v>135</v>
      </c>
      <c r="AI29" s="91"/>
      <c r="AJ29" s="91" t="s">
        <v>96</v>
      </c>
      <c r="AK29" s="85">
        <f>+VLOOKUP(AJ29,[6]Campos!$S$32:$T$39,2,FALSE)</f>
        <v>0.6</v>
      </c>
      <c r="AL29" s="86">
        <v>0.36</v>
      </c>
      <c r="AM29" s="85" t="str">
        <f>+VLOOKUP(AL29,[6]Campos!$W$23:$X$122,2,TRUE)</f>
        <v>Baja - 40%</v>
      </c>
      <c r="AN29" s="87">
        <f>+[6]Campos!L129</f>
        <v>0.6</v>
      </c>
      <c r="AO29" s="85" t="str">
        <f>+VLOOKUP(AN29,[6]Campos!$W$22:$Y$122,3,TRUE)</f>
        <v>3 Moderado</v>
      </c>
      <c r="AP29" s="88" t="s">
        <v>97</v>
      </c>
      <c r="AQ29" s="136" t="s">
        <v>98</v>
      </c>
      <c r="AR29" s="110" t="s">
        <v>546</v>
      </c>
      <c r="AS29" s="110" t="s">
        <v>545</v>
      </c>
      <c r="AT29" s="110" t="s">
        <v>544</v>
      </c>
      <c r="AU29" s="110" t="s">
        <v>157</v>
      </c>
      <c r="AV29" s="142">
        <v>45292</v>
      </c>
      <c r="AW29" s="142">
        <v>45638</v>
      </c>
      <c r="AX29" s="83" t="s">
        <v>451</v>
      </c>
      <c r="AY29" s="83" t="s">
        <v>450</v>
      </c>
      <c r="AZ29" s="83" t="s">
        <v>543</v>
      </c>
      <c r="BA29" s="83" t="s">
        <v>469</v>
      </c>
      <c r="BB29" s="83" t="s">
        <v>542</v>
      </c>
      <c r="BF29" s="52"/>
    </row>
    <row r="30" spans="1:58" s="51" customFormat="1" ht="164.25" customHeight="1">
      <c r="A30" s="500" t="s">
        <v>736</v>
      </c>
      <c r="B30" s="479" t="s">
        <v>715</v>
      </c>
      <c r="C30" s="479" t="s">
        <v>541</v>
      </c>
      <c r="D30" s="479" t="s">
        <v>64</v>
      </c>
      <c r="E30" s="479" t="s">
        <v>64</v>
      </c>
      <c r="F30" s="479" t="s">
        <v>540</v>
      </c>
      <c r="G30" s="479" t="s">
        <v>539</v>
      </c>
      <c r="H30" s="479" t="s">
        <v>181</v>
      </c>
      <c r="I30" s="479" t="s">
        <v>205</v>
      </c>
      <c r="J30" s="479" t="s">
        <v>178</v>
      </c>
      <c r="K30" s="479" t="s">
        <v>178</v>
      </c>
      <c r="L30" s="479" t="s">
        <v>74</v>
      </c>
      <c r="M30" s="479" t="s">
        <v>538</v>
      </c>
      <c r="N30" s="502" t="s">
        <v>537</v>
      </c>
      <c r="O30" s="502" t="s">
        <v>457</v>
      </c>
      <c r="P30" s="502" t="s">
        <v>74</v>
      </c>
      <c r="Q30" s="502" t="s">
        <v>536</v>
      </c>
      <c r="R30" s="502" t="s">
        <v>104</v>
      </c>
      <c r="S30" s="509">
        <v>0.4</v>
      </c>
      <c r="T30" s="512" t="s">
        <v>96</v>
      </c>
      <c r="U30" s="509">
        <v>0.6</v>
      </c>
      <c r="V30" s="516">
        <f t="shared" si="1"/>
        <v>1</v>
      </c>
      <c r="W30" s="522" t="s">
        <v>97</v>
      </c>
      <c r="X30" s="497" t="s">
        <v>535</v>
      </c>
      <c r="Y30" s="479" t="s">
        <v>119</v>
      </c>
      <c r="Z30" s="479">
        <v>0.15</v>
      </c>
      <c r="AA30" s="479" t="s">
        <v>43</v>
      </c>
      <c r="AB30" s="479">
        <f>VLOOKUP(AA30,[6]Campos!$D$66:$E$67,2,FALSE)</f>
        <v>0.15</v>
      </c>
      <c r="AC30" s="505">
        <v>0.3</v>
      </c>
      <c r="AD30" s="505">
        <v>0</v>
      </c>
      <c r="AE30" s="535" t="s">
        <v>44</v>
      </c>
      <c r="AF30" s="535" t="s">
        <v>126</v>
      </c>
      <c r="AG30" s="479" t="s">
        <v>129</v>
      </c>
      <c r="AH30" s="506" t="s">
        <v>134</v>
      </c>
      <c r="AI30" s="91"/>
      <c r="AJ30" s="506" t="s">
        <v>96</v>
      </c>
      <c r="AK30" s="85">
        <f>+VLOOKUP(AJ30,[6]Campos!$S$32:$T$39,2,FALSE)</f>
        <v>0.6</v>
      </c>
      <c r="AL30" s="532">
        <v>0.42</v>
      </c>
      <c r="AM30" s="522" t="str">
        <f>+VLOOKUP(AL30,[6]Campos!$W$23:$X$122,2,TRUE)</f>
        <v>Media - 60%</v>
      </c>
      <c r="AN30" s="529">
        <f>+[6]Campos!L130</f>
        <v>0.6</v>
      </c>
      <c r="AO30" s="522" t="str">
        <f>+VLOOKUP(AN30,[6]Campos!$W$22:$Y$122,3,TRUE)</f>
        <v>3 Moderado</v>
      </c>
      <c r="AP30" s="526" t="s">
        <v>97</v>
      </c>
      <c r="AQ30" s="523" t="s">
        <v>98</v>
      </c>
      <c r="AR30" s="110" t="s">
        <v>534</v>
      </c>
      <c r="AS30" s="479" t="s">
        <v>533</v>
      </c>
      <c r="AT30" s="479" t="s">
        <v>532</v>
      </c>
      <c r="AU30" s="479" t="s">
        <v>157</v>
      </c>
      <c r="AV30" s="519">
        <v>45292</v>
      </c>
      <c r="AW30" s="519">
        <v>45638</v>
      </c>
      <c r="AX30" s="479" t="s">
        <v>451</v>
      </c>
      <c r="AY30" s="479" t="s">
        <v>450</v>
      </c>
      <c r="AZ30" s="479" t="s">
        <v>532</v>
      </c>
      <c r="BA30" s="479" t="s">
        <v>48</v>
      </c>
      <c r="BB30" s="479" t="s">
        <v>531</v>
      </c>
      <c r="BF30" s="52"/>
    </row>
    <row r="31" spans="1:58" s="51" customFormat="1" ht="61.5" customHeight="1">
      <c r="A31" s="504"/>
      <c r="B31" s="480"/>
      <c r="C31" s="480"/>
      <c r="D31" s="480"/>
      <c r="E31" s="480"/>
      <c r="F31" s="480"/>
      <c r="G31" s="480"/>
      <c r="H31" s="480"/>
      <c r="I31" s="480"/>
      <c r="J31" s="480"/>
      <c r="K31" s="480"/>
      <c r="L31" s="480"/>
      <c r="M31" s="480"/>
      <c r="N31" s="515"/>
      <c r="O31" s="515"/>
      <c r="P31" s="515"/>
      <c r="Q31" s="515"/>
      <c r="R31" s="515"/>
      <c r="S31" s="510"/>
      <c r="T31" s="513"/>
      <c r="U31" s="510"/>
      <c r="V31" s="517"/>
      <c r="W31" s="510"/>
      <c r="X31" s="498"/>
      <c r="Y31" s="480"/>
      <c r="Z31" s="480"/>
      <c r="AA31" s="480"/>
      <c r="AB31" s="480"/>
      <c r="AC31" s="480"/>
      <c r="AD31" s="480"/>
      <c r="AE31" s="536"/>
      <c r="AF31" s="536"/>
      <c r="AG31" s="480"/>
      <c r="AH31" s="507"/>
      <c r="AI31" s="91"/>
      <c r="AJ31" s="507"/>
      <c r="AK31" s="85" t="e">
        <f>+VLOOKUP(AJ31,[6]Campos!$S$32:$T$39,2,FALSE)</f>
        <v>#N/A</v>
      </c>
      <c r="AL31" s="533"/>
      <c r="AM31" s="510"/>
      <c r="AN31" s="530"/>
      <c r="AO31" s="510"/>
      <c r="AP31" s="527"/>
      <c r="AQ31" s="524"/>
      <c r="AR31" s="110" t="s">
        <v>530</v>
      </c>
      <c r="AS31" s="480"/>
      <c r="AT31" s="480"/>
      <c r="AU31" s="480"/>
      <c r="AV31" s="520"/>
      <c r="AW31" s="520"/>
      <c r="AX31" s="480"/>
      <c r="AY31" s="480"/>
      <c r="AZ31" s="480"/>
      <c r="BA31" s="480"/>
      <c r="BB31" s="480"/>
      <c r="BF31" s="52"/>
    </row>
    <row r="32" spans="1:58" s="51" customFormat="1" ht="61.5" customHeight="1">
      <c r="A32" s="501"/>
      <c r="B32" s="481"/>
      <c r="C32" s="481"/>
      <c r="D32" s="481"/>
      <c r="E32" s="481"/>
      <c r="F32" s="481"/>
      <c r="G32" s="481"/>
      <c r="H32" s="481"/>
      <c r="I32" s="481"/>
      <c r="J32" s="481"/>
      <c r="K32" s="481"/>
      <c r="L32" s="481"/>
      <c r="M32" s="481"/>
      <c r="N32" s="503"/>
      <c r="O32" s="503"/>
      <c r="P32" s="503"/>
      <c r="Q32" s="503"/>
      <c r="R32" s="503"/>
      <c r="S32" s="511"/>
      <c r="T32" s="514"/>
      <c r="U32" s="511"/>
      <c r="V32" s="518"/>
      <c r="W32" s="511"/>
      <c r="X32" s="499"/>
      <c r="Y32" s="481"/>
      <c r="Z32" s="481"/>
      <c r="AA32" s="481"/>
      <c r="AB32" s="481"/>
      <c r="AC32" s="481"/>
      <c r="AD32" s="481"/>
      <c r="AE32" s="537"/>
      <c r="AF32" s="537"/>
      <c r="AG32" s="481"/>
      <c r="AH32" s="508"/>
      <c r="AI32" s="91"/>
      <c r="AJ32" s="508"/>
      <c r="AK32" s="85" t="e">
        <f>+VLOOKUP(AJ32,[6]Campos!$S$32:$T$39,2,FALSE)</f>
        <v>#N/A</v>
      </c>
      <c r="AL32" s="534"/>
      <c r="AM32" s="511"/>
      <c r="AN32" s="531"/>
      <c r="AO32" s="511"/>
      <c r="AP32" s="528"/>
      <c r="AQ32" s="525"/>
      <c r="AR32" s="110" t="s">
        <v>529</v>
      </c>
      <c r="AS32" s="481"/>
      <c r="AT32" s="481"/>
      <c r="AU32" s="481"/>
      <c r="AV32" s="521"/>
      <c r="AW32" s="521"/>
      <c r="AX32" s="481"/>
      <c r="AY32" s="481"/>
      <c r="AZ32" s="481"/>
      <c r="BA32" s="481"/>
      <c r="BB32" s="481"/>
      <c r="BF32" s="52"/>
    </row>
    <row r="33" spans="1:60" s="51" customFormat="1" ht="270.75" customHeight="1">
      <c r="A33" s="328" t="s">
        <v>737</v>
      </c>
      <c r="B33" s="83" t="s">
        <v>715</v>
      </c>
      <c r="C33" s="83" t="s">
        <v>528</v>
      </c>
      <c r="D33" s="83" t="s">
        <v>60</v>
      </c>
      <c r="E33" s="83" t="s">
        <v>60</v>
      </c>
      <c r="F33" s="83" t="s">
        <v>527</v>
      </c>
      <c r="G33" s="83" t="s">
        <v>526</v>
      </c>
      <c r="H33" s="107" t="s">
        <v>181</v>
      </c>
      <c r="I33" s="83" t="s">
        <v>205</v>
      </c>
      <c r="J33" s="83" t="s">
        <v>178</v>
      </c>
      <c r="K33" s="83" t="s">
        <v>178</v>
      </c>
      <c r="L33" s="83" t="s">
        <v>74</v>
      </c>
      <c r="M33" s="83" t="s">
        <v>525</v>
      </c>
      <c r="N33" s="89" t="s">
        <v>524</v>
      </c>
      <c r="O33" s="89" t="s">
        <v>457</v>
      </c>
      <c r="P33" s="89" t="s">
        <v>74</v>
      </c>
      <c r="Q33" s="231" t="s">
        <v>456</v>
      </c>
      <c r="R33" s="89" t="s">
        <v>108</v>
      </c>
      <c r="S33" s="233">
        <v>0.8</v>
      </c>
      <c r="T33" s="130" t="s">
        <v>99</v>
      </c>
      <c r="U33" s="228">
        <v>0.8</v>
      </c>
      <c r="V33" s="85">
        <f t="shared" ref="V33:V40" si="2">+S33+U33</f>
        <v>1.6</v>
      </c>
      <c r="W33" s="85" t="s">
        <v>100</v>
      </c>
      <c r="X33" s="106" t="s">
        <v>523</v>
      </c>
      <c r="Y33" s="83" t="s">
        <v>119</v>
      </c>
      <c r="Z33" s="83">
        <v>0.15</v>
      </c>
      <c r="AA33" s="83" t="s">
        <v>43</v>
      </c>
      <c r="AB33" s="83">
        <f>VLOOKUP(AA33,[6]Campos!$D$66:$E$67,2,FALSE)</f>
        <v>0.15</v>
      </c>
      <c r="AC33" s="232">
        <v>0.3</v>
      </c>
      <c r="AD33" s="232">
        <v>0</v>
      </c>
      <c r="AE33" s="84" t="s">
        <v>44</v>
      </c>
      <c r="AF33" s="84" t="s">
        <v>126</v>
      </c>
      <c r="AG33" s="83" t="s">
        <v>129</v>
      </c>
      <c r="AH33" s="91" t="s">
        <v>46</v>
      </c>
      <c r="AI33" s="91"/>
      <c r="AJ33" s="91" t="s">
        <v>99</v>
      </c>
      <c r="AK33" s="85">
        <f>+VLOOKUP(AJ33,[6]Campos!$S$32:$T$39,2,FALSE)</f>
        <v>0.8</v>
      </c>
      <c r="AL33" s="86">
        <v>0.42</v>
      </c>
      <c r="AM33" s="85" t="str">
        <f>+VLOOKUP(AL33,[6]Campos!$W$23:$X$122,2,TRUE)</f>
        <v>Media - 60%</v>
      </c>
      <c r="AN33" s="87">
        <f>+[6]Campos!L133</f>
        <v>0.8</v>
      </c>
      <c r="AO33" s="85" t="str">
        <f>+VLOOKUP(AN33,[6]Campos!$W$22:$Y$122,3,TRUE)</f>
        <v>4 Mayor</v>
      </c>
      <c r="AP33" s="88" t="s">
        <v>100</v>
      </c>
      <c r="AQ33" s="136" t="s">
        <v>98</v>
      </c>
      <c r="AR33" s="110" t="s">
        <v>522</v>
      </c>
      <c r="AS33" s="110" t="s">
        <v>521</v>
      </c>
      <c r="AT33" s="110" t="s">
        <v>520</v>
      </c>
      <c r="AU33" s="110" t="s">
        <v>519</v>
      </c>
      <c r="AV33" s="142">
        <v>45292</v>
      </c>
      <c r="AW33" s="142">
        <v>45638</v>
      </c>
      <c r="AX33" s="83" t="s">
        <v>451</v>
      </c>
      <c r="AY33" s="83" t="s">
        <v>450</v>
      </c>
      <c r="AZ33" s="83" t="s">
        <v>518</v>
      </c>
      <c r="BA33" s="83" t="s">
        <v>448</v>
      </c>
      <c r="BB33" s="83" t="s">
        <v>508</v>
      </c>
      <c r="BF33" s="52"/>
    </row>
    <row r="34" spans="1:60" s="51" customFormat="1" ht="138.75" customHeight="1">
      <c r="A34" s="328" t="s">
        <v>738</v>
      </c>
      <c r="B34" s="83" t="s">
        <v>715</v>
      </c>
      <c r="C34" s="83" t="s">
        <v>517</v>
      </c>
      <c r="D34" s="83" t="s">
        <v>60</v>
      </c>
      <c r="E34" s="83" t="s">
        <v>60</v>
      </c>
      <c r="F34" s="83" t="s">
        <v>516</v>
      </c>
      <c r="G34" s="83" t="s">
        <v>719</v>
      </c>
      <c r="H34" s="107" t="s">
        <v>181</v>
      </c>
      <c r="I34" s="83" t="s">
        <v>205</v>
      </c>
      <c r="J34" s="83" t="s">
        <v>178</v>
      </c>
      <c r="K34" s="83" t="s">
        <v>178</v>
      </c>
      <c r="L34" s="83" t="s">
        <v>515</v>
      </c>
      <c r="M34" s="83" t="s">
        <v>514</v>
      </c>
      <c r="N34" s="89" t="s">
        <v>513</v>
      </c>
      <c r="O34" s="89" t="s">
        <v>457</v>
      </c>
      <c r="P34" s="89" t="s">
        <v>74</v>
      </c>
      <c r="Q34" s="231" t="s">
        <v>473</v>
      </c>
      <c r="R34" s="89" t="s">
        <v>42</v>
      </c>
      <c r="S34" s="233">
        <v>0.8</v>
      </c>
      <c r="T34" s="130" t="s">
        <v>96</v>
      </c>
      <c r="U34" s="228">
        <v>0.6</v>
      </c>
      <c r="V34" s="85">
        <f t="shared" si="2"/>
        <v>1.4</v>
      </c>
      <c r="W34" s="85" t="s">
        <v>97</v>
      </c>
      <c r="X34" s="106" t="s">
        <v>512</v>
      </c>
      <c r="Y34" s="83" t="s">
        <v>119</v>
      </c>
      <c r="Z34" s="83">
        <v>0.15</v>
      </c>
      <c r="AA34" s="83" t="s">
        <v>43</v>
      </c>
      <c r="AB34" s="83">
        <f>VLOOKUP(AA34,[6]Campos!$D$66:$E$67,2,FALSE)</f>
        <v>0.15</v>
      </c>
      <c r="AC34" s="232">
        <v>0.3</v>
      </c>
      <c r="AD34" s="232">
        <v>0</v>
      </c>
      <c r="AE34" s="84" t="s">
        <v>44</v>
      </c>
      <c r="AF34" s="84" t="s">
        <v>126</v>
      </c>
      <c r="AG34" s="83" t="s">
        <v>129</v>
      </c>
      <c r="AH34" s="91" t="s">
        <v>135</v>
      </c>
      <c r="AI34" s="91"/>
      <c r="AJ34" s="91" t="s">
        <v>96</v>
      </c>
      <c r="AK34" s="85">
        <f>+VLOOKUP(AJ34,[6]Campos!$S$32:$T$39,2,FALSE)</f>
        <v>0.6</v>
      </c>
      <c r="AL34" s="86">
        <v>0.42</v>
      </c>
      <c r="AM34" s="85" t="str">
        <f>+VLOOKUP(AL34,[6]Campos!$W$23:$X$122,2,TRUE)</f>
        <v>Media - 60%</v>
      </c>
      <c r="AN34" s="87">
        <f>+[6]Campos!L134</f>
        <v>0.6</v>
      </c>
      <c r="AO34" s="85" t="str">
        <f>+VLOOKUP(AN34,[6]Campos!$W$22:$Y$122,3,TRUE)</f>
        <v>3 Moderado</v>
      </c>
      <c r="AP34" s="88" t="s">
        <v>97</v>
      </c>
      <c r="AQ34" s="136" t="s">
        <v>98</v>
      </c>
      <c r="AR34" s="110" t="s">
        <v>511</v>
      </c>
      <c r="AS34" s="110" t="s">
        <v>510</v>
      </c>
      <c r="AT34" s="110" t="s">
        <v>509</v>
      </c>
      <c r="AU34" s="110" t="s">
        <v>157</v>
      </c>
      <c r="AV34" s="142">
        <v>45292</v>
      </c>
      <c r="AW34" s="142">
        <v>45638</v>
      </c>
      <c r="AX34" s="83" t="s">
        <v>451</v>
      </c>
      <c r="AY34" s="83" t="s">
        <v>450</v>
      </c>
      <c r="AZ34" s="83" t="s">
        <v>509</v>
      </c>
      <c r="BA34" s="83" t="s">
        <v>469</v>
      </c>
      <c r="BB34" s="83" t="s">
        <v>508</v>
      </c>
      <c r="BF34" s="52"/>
    </row>
    <row r="35" spans="1:60" s="51" customFormat="1" ht="206.5" customHeight="1">
      <c r="A35" s="328" t="s">
        <v>739</v>
      </c>
      <c r="B35" s="83" t="s">
        <v>715</v>
      </c>
      <c r="C35" s="83" t="s">
        <v>507</v>
      </c>
      <c r="D35" s="83" t="s">
        <v>59</v>
      </c>
      <c r="E35" s="83" t="s">
        <v>59</v>
      </c>
      <c r="F35" s="83" t="s">
        <v>506</v>
      </c>
      <c r="G35" s="83" t="s">
        <v>505</v>
      </c>
      <c r="H35" s="107" t="s">
        <v>181</v>
      </c>
      <c r="I35" s="83" t="s">
        <v>205</v>
      </c>
      <c r="J35" s="83" t="s">
        <v>178</v>
      </c>
      <c r="K35" s="83" t="s">
        <v>178</v>
      </c>
      <c r="L35" s="83" t="s">
        <v>460</v>
      </c>
      <c r="M35" s="83" t="s">
        <v>504</v>
      </c>
      <c r="N35" s="89" t="s">
        <v>503</v>
      </c>
      <c r="O35" s="89" t="s">
        <v>457</v>
      </c>
      <c r="P35" s="89" t="s">
        <v>74</v>
      </c>
      <c r="Q35" s="231" t="s">
        <v>502</v>
      </c>
      <c r="R35" s="89" t="s">
        <v>108</v>
      </c>
      <c r="S35" s="233">
        <v>0.8</v>
      </c>
      <c r="T35" s="130" t="s">
        <v>99</v>
      </c>
      <c r="U35" s="228">
        <v>0.8</v>
      </c>
      <c r="V35" s="85">
        <f t="shared" si="2"/>
        <v>1.6</v>
      </c>
      <c r="W35" s="85" t="s">
        <v>100</v>
      </c>
      <c r="X35" s="106" t="s">
        <v>501</v>
      </c>
      <c r="Y35" s="83" t="s">
        <v>118</v>
      </c>
      <c r="Z35" s="83">
        <v>0.25</v>
      </c>
      <c r="AA35" s="83" t="s">
        <v>43</v>
      </c>
      <c r="AB35" s="110">
        <v>0.15</v>
      </c>
      <c r="AC35" s="229">
        <v>0.4</v>
      </c>
      <c r="AD35" s="232">
        <v>0</v>
      </c>
      <c r="AE35" s="84" t="s">
        <v>44</v>
      </c>
      <c r="AF35" s="84" t="s">
        <v>126</v>
      </c>
      <c r="AG35" s="83" t="s">
        <v>129</v>
      </c>
      <c r="AH35" s="91" t="s">
        <v>46</v>
      </c>
      <c r="AI35" s="91"/>
      <c r="AJ35" s="91" t="s">
        <v>99</v>
      </c>
      <c r="AK35" s="85">
        <f>+VLOOKUP(AJ35,[6]Campos!$S$32:$T$39,2,FALSE)</f>
        <v>0.8</v>
      </c>
      <c r="AL35" s="86">
        <v>0.36</v>
      </c>
      <c r="AM35" s="85" t="str">
        <f>+VLOOKUP(AL35,[6]Campos!$W$23:$X$122,2,TRUE)</f>
        <v>Baja - 40%</v>
      </c>
      <c r="AN35" s="87">
        <f>+[6]Campos!L135</f>
        <v>0.8</v>
      </c>
      <c r="AO35" s="85" t="str">
        <f>+VLOOKUP(AN35,[6]Campos!$W$22:$Y$122,3,TRUE)</f>
        <v>4 Mayor</v>
      </c>
      <c r="AP35" s="88" t="s">
        <v>100</v>
      </c>
      <c r="AQ35" s="136" t="s">
        <v>98</v>
      </c>
      <c r="AR35" s="110" t="s">
        <v>500</v>
      </c>
      <c r="AS35" s="110" t="s">
        <v>499</v>
      </c>
      <c r="AT35" s="110" t="s">
        <v>498</v>
      </c>
      <c r="AU35" s="110" t="s">
        <v>157</v>
      </c>
      <c r="AV35" s="142">
        <v>45292</v>
      </c>
      <c r="AW35" s="142">
        <v>45638</v>
      </c>
      <c r="AX35" s="83" t="s">
        <v>451</v>
      </c>
      <c r="AY35" s="83" t="s">
        <v>450</v>
      </c>
      <c r="AZ35" s="83" t="s">
        <v>497</v>
      </c>
      <c r="BA35" s="83" t="s">
        <v>496</v>
      </c>
      <c r="BB35" s="83" t="s">
        <v>447</v>
      </c>
      <c r="BF35" s="52"/>
    </row>
    <row r="36" spans="1:60" s="51" customFormat="1" ht="113.25" customHeight="1">
      <c r="A36" s="328" t="s">
        <v>740</v>
      </c>
      <c r="B36" s="83" t="s">
        <v>715</v>
      </c>
      <c r="C36" s="83" t="s">
        <v>487</v>
      </c>
      <c r="D36" s="83" t="s">
        <v>59</v>
      </c>
      <c r="E36" s="83" t="s">
        <v>59</v>
      </c>
      <c r="F36" s="83" t="s">
        <v>495</v>
      </c>
      <c r="G36" s="83" t="s">
        <v>494</v>
      </c>
      <c r="H36" s="107" t="s">
        <v>181</v>
      </c>
      <c r="I36" s="83" t="s">
        <v>69</v>
      </c>
      <c r="J36" s="83" t="s">
        <v>178</v>
      </c>
      <c r="K36" s="83" t="s">
        <v>178</v>
      </c>
      <c r="L36" s="83" t="s">
        <v>460</v>
      </c>
      <c r="M36" s="83" t="s">
        <v>493</v>
      </c>
      <c r="N36" s="89" t="s">
        <v>492</v>
      </c>
      <c r="O36" s="89" t="s">
        <v>457</v>
      </c>
      <c r="P36" s="89" t="s">
        <v>75</v>
      </c>
      <c r="Q36" s="231" t="s">
        <v>491</v>
      </c>
      <c r="R36" s="89" t="s">
        <v>42</v>
      </c>
      <c r="S36" s="233">
        <v>0.6</v>
      </c>
      <c r="T36" s="130" t="s">
        <v>101</v>
      </c>
      <c r="U36" s="228">
        <v>1</v>
      </c>
      <c r="V36" s="85">
        <f t="shared" si="2"/>
        <v>1.6</v>
      </c>
      <c r="W36" s="85" t="s">
        <v>102</v>
      </c>
      <c r="X36" s="106" t="s">
        <v>490</v>
      </c>
      <c r="Y36" s="83" t="s">
        <v>119</v>
      </c>
      <c r="Z36" s="83">
        <v>0.15</v>
      </c>
      <c r="AA36" s="83" t="s">
        <v>43</v>
      </c>
      <c r="AB36" s="83">
        <f>VLOOKUP(AA36,[6]Campos!$D$66:$E$67,2,FALSE)</f>
        <v>0.15</v>
      </c>
      <c r="AC36" s="232">
        <v>0.3</v>
      </c>
      <c r="AD36" s="232">
        <v>0</v>
      </c>
      <c r="AE36" s="84" t="s">
        <v>44</v>
      </c>
      <c r="AF36" s="84" t="s">
        <v>126</v>
      </c>
      <c r="AG36" s="83" t="s">
        <v>129</v>
      </c>
      <c r="AH36" s="91" t="s">
        <v>46</v>
      </c>
      <c r="AI36" s="91"/>
      <c r="AJ36" s="91" t="s">
        <v>96</v>
      </c>
      <c r="AK36" s="85">
        <f>+VLOOKUP(AJ36,[6]Campos!$S$32:$T$39,2,FALSE)</f>
        <v>0.6</v>
      </c>
      <c r="AL36" s="86">
        <v>0.42</v>
      </c>
      <c r="AM36" s="85" t="str">
        <f>+VLOOKUP(AL36,[6]Campos!$W$23:$X$122,2,TRUE)</f>
        <v>Media - 60%</v>
      </c>
      <c r="AN36" s="87">
        <f>+[6]Campos!L136</f>
        <v>0.6</v>
      </c>
      <c r="AO36" s="85" t="str">
        <f>+VLOOKUP(AN36,[6]Campos!$W$22:$Y$122,3,TRUE)</f>
        <v>3 Moderado</v>
      </c>
      <c r="AP36" s="88" t="s">
        <v>97</v>
      </c>
      <c r="AQ36" s="136" t="s">
        <v>98</v>
      </c>
      <c r="AR36" s="110" t="s">
        <v>489</v>
      </c>
      <c r="AS36" s="110" t="s">
        <v>488</v>
      </c>
      <c r="AT36" s="110" t="s">
        <v>479</v>
      </c>
      <c r="AU36" s="110" t="s">
        <v>156</v>
      </c>
      <c r="AV36" s="142">
        <v>45292</v>
      </c>
      <c r="AW36" s="142">
        <v>45638</v>
      </c>
      <c r="AX36" s="83" t="s">
        <v>451</v>
      </c>
      <c r="AY36" s="83" t="s">
        <v>450</v>
      </c>
      <c r="AZ36" s="110" t="s">
        <v>479</v>
      </c>
      <c r="BA36" s="83" t="s">
        <v>448</v>
      </c>
      <c r="BB36" s="83" t="s">
        <v>447</v>
      </c>
      <c r="BF36" s="52"/>
    </row>
    <row r="37" spans="1:60" s="51" customFormat="1" ht="100.5" customHeight="1">
      <c r="A37" s="328" t="s">
        <v>741</v>
      </c>
      <c r="B37" s="83" t="s">
        <v>715</v>
      </c>
      <c r="C37" s="83" t="s">
        <v>487</v>
      </c>
      <c r="D37" s="83" t="s">
        <v>59</v>
      </c>
      <c r="E37" s="83" t="s">
        <v>59</v>
      </c>
      <c r="F37" s="83" t="s">
        <v>486</v>
      </c>
      <c r="G37" s="83" t="s">
        <v>485</v>
      </c>
      <c r="H37" s="107" t="s">
        <v>181</v>
      </c>
      <c r="I37" s="83" t="s">
        <v>205</v>
      </c>
      <c r="J37" s="83" t="s">
        <v>178</v>
      </c>
      <c r="K37" s="83" t="s">
        <v>178</v>
      </c>
      <c r="L37" s="83" t="s">
        <v>460</v>
      </c>
      <c r="M37" s="83" t="s">
        <v>484</v>
      </c>
      <c r="N37" s="89" t="s">
        <v>483</v>
      </c>
      <c r="O37" s="89" t="s">
        <v>457</v>
      </c>
      <c r="P37" s="89" t="s">
        <v>74</v>
      </c>
      <c r="Q37" s="231" t="s">
        <v>456</v>
      </c>
      <c r="R37" s="89" t="s">
        <v>42</v>
      </c>
      <c r="S37" s="233">
        <v>0.6</v>
      </c>
      <c r="T37" s="130" t="s">
        <v>96</v>
      </c>
      <c r="U37" s="228">
        <v>0.6</v>
      </c>
      <c r="V37" s="85">
        <f t="shared" si="2"/>
        <v>1.2</v>
      </c>
      <c r="W37" s="85" t="s">
        <v>97</v>
      </c>
      <c r="X37" s="106" t="s">
        <v>482</v>
      </c>
      <c r="Y37" s="83" t="s">
        <v>119</v>
      </c>
      <c r="Z37" s="83">
        <v>0.15</v>
      </c>
      <c r="AA37" s="83" t="s">
        <v>43</v>
      </c>
      <c r="AB37" s="83">
        <f>VLOOKUP(AA37,[6]Campos!$D$66:$E$67,2,FALSE)</f>
        <v>0.15</v>
      </c>
      <c r="AC37" s="232">
        <v>0.3</v>
      </c>
      <c r="AD37" s="232">
        <v>0</v>
      </c>
      <c r="AE37" s="84" t="s">
        <v>44</v>
      </c>
      <c r="AF37" s="84" t="s">
        <v>126</v>
      </c>
      <c r="AG37" s="83" t="s">
        <v>129</v>
      </c>
      <c r="AH37" s="91" t="s">
        <v>46</v>
      </c>
      <c r="AI37" s="91"/>
      <c r="AJ37" s="91" t="s">
        <v>96</v>
      </c>
      <c r="AK37" s="85">
        <f>+VLOOKUP(AJ37,[6]Campos!$S$32:$T$39,2,FALSE)</f>
        <v>0.6</v>
      </c>
      <c r="AL37" s="86">
        <v>0.42</v>
      </c>
      <c r="AM37" s="85" t="str">
        <f>+VLOOKUP(AL37,[6]Campos!$W$23:$X$122,2,TRUE)</f>
        <v>Media - 60%</v>
      </c>
      <c r="AN37" s="87">
        <f>+[6]Campos!L136</f>
        <v>0.6</v>
      </c>
      <c r="AO37" s="85" t="str">
        <f>+VLOOKUP(AN37,[6]Campos!$W$22:$Y$122,3,TRUE)</f>
        <v>3 Moderado</v>
      </c>
      <c r="AP37" s="88" t="s">
        <v>97</v>
      </c>
      <c r="AQ37" s="136" t="s">
        <v>98</v>
      </c>
      <c r="AR37" s="110" t="s">
        <v>481</v>
      </c>
      <c r="AS37" s="110" t="s">
        <v>480</v>
      </c>
      <c r="AT37" s="110" t="s">
        <v>479</v>
      </c>
      <c r="AU37" s="110" t="s">
        <v>157</v>
      </c>
      <c r="AV37" s="142">
        <v>45292</v>
      </c>
      <c r="AW37" s="142">
        <v>45638</v>
      </c>
      <c r="AX37" s="83" t="s">
        <v>451</v>
      </c>
      <c r="AY37" s="83" t="s">
        <v>450</v>
      </c>
      <c r="AZ37" s="110" t="s">
        <v>479</v>
      </c>
      <c r="BA37" s="83" t="s">
        <v>448</v>
      </c>
      <c r="BB37" s="83" t="s">
        <v>447</v>
      </c>
      <c r="BF37" s="52"/>
    </row>
    <row r="38" spans="1:60" s="51" customFormat="1" ht="116.25" customHeight="1">
      <c r="A38" s="500" t="s">
        <v>742</v>
      </c>
      <c r="B38" s="479" t="s">
        <v>715</v>
      </c>
      <c r="C38" s="479" t="s">
        <v>478</v>
      </c>
      <c r="D38" s="479" t="s">
        <v>59</v>
      </c>
      <c r="E38" s="479" t="s">
        <v>59</v>
      </c>
      <c r="F38" s="479" t="s">
        <v>477</v>
      </c>
      <c r="G38" s="479" t="s">
        <v>476</v>
      </c>
      <c r="H38" s="479" t="s">
        <v>181</v>
      </c>
      <c r="I38" s="479" t="s">
        <v>205</v>
      </c>
      <c r="J38" s="479" t="s">
        <v>178</v>
      </c>
      <c r="K38" s="479" t="s">
        <v>178</v>
      </c>
      <c r="L38" s="479" t="s">
        <v>460</v>
      </c>
      <c r="M38" s="479" t="s">
        <v>475</v>
      </c>
      <c r="N38" s="502" t="s">
        <v>474</v>
      </c>
      <c r="O38" s="502" t="s">
        <v>457</v>
      </c>
      <c r="P38" s="502" t="s">
        <v>74</v>
      </c>
      <c r="Q38" s="502" t="s">
        <v>473</v>
      </c>
      <c r="R38" s="89" t="s">
        <v>42</v>
      </c>
      <c r="S38" s="233">
        <v>0.6</v>
      </c>
      <c r="T38" s="130" t="s">
        <v>99</v>
      </c>
      <c r="U38" s="228">
        <v>0.8</v>
      </c>
      <c r="V38" s="85">
        <f t="shared" si="2"/>
        <v>1.4</v>
      </c>
      <c r="W38" s="85" t="s">
        <v>100</v>
      </c>
      <c r="X38" s="106" t="s">
        <v>472</v>
      </c>
      <c r="Y38" s="83" t="s">
        <v>119</v>
      </c>
      <c r="Z38" s="83">
        <v>0.15</v>
      </c>
      <c r="AA38" s="83" t="s">
        <v>43</v>
      </c>
      <c r="AB38" s="83">
        <f>VLOOKUP(AA38,[6]Campos!$D$66:$E$67,2,FALSE)</f>
        <v>0.15</v>
      </c>
      <c r="AC38" s="232">
        <v>0.3</v>
      </c>
      <c r="AD38" s="232">
        <v>0</v>
      </c>
      <c r="AE38" s="84" t="s">
        <v>44</v>
      </c>
      <c r="AF38" s="84" t="s">
        <v>126</v>
      </c>
      <c r="AG38" s="83" t="s">
        <v>129</v>
      </c>
      <c r="AH38" s="91" t="s">
        <v>46</v>
      </c>
      <c r="AI38" s="91"/>
      <c r="AJ38" s="91" t="s">
        <v>99</v>
      </c>
      <c r="AK38" s="85">
        <f>+VLOOKUP(AJ38,[6]Campos!$S$32:$T$39,2,FALSE)</f>
        <v>0.8</v>
      </c>
      <c r="AL38" s="86">
        <v>0.42</v>
      </c>
      <c r="AM38" s="85" t="str">
        <f>+VLOOKUP(AL38,[6]Campos!$W$23:$X$122,2,TRUE)</f>
        <v>Media - 60%</v>
      </c>
      <c r="AN38" s="87">
        <f>+[6]Campos!L137</f>
        <v>0.8</v>
      </c>
      <c r="AO38" s="85" t="str">
        <f>+VLOOKUP(AN38,[6]Campos!$W$22:$Y$122,3,TRUE)</f>
        <v>4 Mayor</v>
      </c>
      <c r="AP38" s="88" t="s">
        <v>100</v>
      </c>
      <c r="AQ38" s="136" t="s">
        <v>98</v>
      </c>
      <c r="AR38" s="110" t="s">
        <v>471</v>
      </c>
      <c r="AS38" s="110" t="s">
        <v>470</v>
      </c>
      <c r="AT38" s="110" t="s">
        <v>464</v>
      </c>
      <c r="AU38" s="110" t="s">
        <v>48</v>
      </c>
      <c r="AV38" s="142">
        <v>45292</v>
      </c>
      <c r="AW38" s="142">
        <v>45638</v>
      </c>
      <c r="AX38" s="83" t="s">
        <v>451</v>
      </c>
      <c r="AY38" s="83" t="s">
        <v>450</v>
      </c>
      <c r="AZ38" s="110" t="s">
        <v>464</v>
      </c>
      <c r="BA38" s="83" t="s">
        <v>469</v>
      </c>
      <c r="BB38" s="83" t="s">
        <v>468</v>
      </c>
      <c r="BF38" s="52"/>
    </row>
    <row r="39" spans="1:60" s="51" customFormat="1" ht="224" customHeight="1">
      <c r="A39" s="501"/>
      <c r="B39" s="481"/>
      <c r="C39" s="481"/>
      <c r="D39" s="481"/>
      <c r="E39" s="481"/>
      <c r="F39" s="481"/>
      <c r="G39" s="481"/>
      <c r="H39" s="481"/>
      <c r="I39" s="481"/>
      <c r="J39" s="481"/>
      <c r="K39" s="481"/>
      <c r="L39" s="481"/>
      <c r="M39" s="481"/>
      <c r="N39" s="503"/>
      <c r="O39" s="503"/>
      <c r="P39" s="503"/>
      <c r="Q39" s="503"/>
      <c r="R39" s="89" t="s">
        <v>42</v>
      </c>
      <c r="S39" s="233">
        <v>0.4</v>
      </c>
      <c r="T39" s="130" t="s">
        <v>99</v>
      </c>
      <c r="U39" s="228">
        <v>0.8</v>
      </c>
      <c r="V39" s="85">
        <f t="shared" si="2"/>
        <v>1.2000000000000002</v>
      </c>
      <c r="W39" s="85" t="s">
        <v>100</v>
      </c>
      <c r="X39" s="106" t="s">
        <v>467</v>
      </c>
      <c r="Y39" s="83" t="s">
        <v>119</v>
      </c>
      <c r="Z39" s="83">
        <v>0.15</v>
      </c>
      <c r="AA39" s="83" t="s">
        <v>43</v>
      </c>
      <c r="AB39" s="83">
        <f>VLOOKUP(AA39,[6]Campos!$D$66:$E$67,2,FALSE)</f>
        <v>0.15</v>
      </c>
      <c r="AC39" s="232">
        <v>0.3</v>
      </c>
      <c r="AD39" s="232">
        <v>0</v>
      </c>
      <c r="AE39" s="84" t="s">
        <v>44</v>
      </c>
      <c r="AF39" s="84" t="s">
        <v>126</v>
      </c>
      <c r="AG39" s="83" t="s">
        <v>129</v>
      </c>
      <c r="AH39" s="91" t="s">
        <v>46</v>
      </c>
      <c r="AI39" s="91"/>
      <c r="AJ39" s="91" t="s">
        <v>99</v>
      </c>
      <c r="AK39" s="85">
        <f>+VLOOKUP(AJ39,[6]Campos!$S$32:$T$39,2,FALSE)</f>
        <v>0.8</v>
      </c>
      <c r="AL39" s="234">
        <v>0.252</v>
      </c>
      <c r="AM39" s="85" t="str">
        <f>+VLOOKUP(AL39,[6]Campos!$W$23:$X$122,2,TRUE)</f>
        <v>Baja - 40%</v>
      </c>
      <c r="AN39" s="87">
        <f>+[6]Campos!L138</f>
        <v>0.8</v>
      </c>
      <c r="AO39" s="85" t="str">
        <f>+VLOOKUP(AN39,[6]Campos!$W$22:$Y$122,3,TRUE)</f>
        <v>4 Mayor</v>
      </c>
      <c r="AP39" s="88" t="s">
        <v>100</v>
      </c>
      <c r="AQ39" s="136" t="s">
        <v>98</v>
      </c>
      <c r="AR39" s="110" t="s">
        <v>466</v>
      </c>
      <c r="AS39" s="110" t="s">
        <v>465</v>
      </c>
      <c r="AT39" s="110" t="s">
        <v>464</v>
      </c>
      <c r="AU39" s="110" t="s">
        <v>48</v>
      </c>
      <c r="AV39" s="142">
        <v>45292</v>
      </c>
      <c r="AW39" s="142">
        <v>45638</v>
      </c>
      <c r="AX39" s="83" t="s">
        <v>451</v>
      </c>
      <c r="AY39" s="83" t="s">
        <v>450</v>
      </c>
      <c r="AZ39" s="110" t="s">
        <v>464</v>
      </c>
      <c r="BA39" s="83" t="s">
        <v>463</v>
      </c>
      <c r="BB39" s="83" t="s">
        <v>447</v>
      </c>
      <c r="BF39" s="52"/>
    </row>
    <row r="40" spans="1:60" s="51" customFormat="1" ht="106.5" customHeight="1">
      <c r="A40" s="328" t="s">
        <v>743</v>
      </c>
      <c r="B40" s="83" t="s">
        <v>715</v>
      </c>
      <c r="C40" s="83" t="s">
        <v>462</v>
      </c>
      <c r="D40" s="83" t="s">
        <v>59</v>
      </c>
      <c r="E40" s="83" t="s">
        <v>59</v>
      </c>
      <c r="F40" s="83" t="s">
        <v>716</v>
      </c>
      <c r="G40" s="83" t="s">
        <v>461</v>
      </c>
      <c r="H40" s="83" t="s">
        <v>181</v>
      </c>
      <c r="I40" s="83" t="s">
        <v>205</v>
      </c>
      <c r="J40" s="83" t="s">
        <v>178</v>
      </c>
      <c r="K40" s="83" t="s">
        <v>178</v>
      </c>
      <c r="L40" s="83" t="s">
        <v>460</v>
      </c>
      <c r="M40" s="83" t="s">
        <v>459</v>
      </c>
      <c r="N40" s="89" t="s">
        <v>458</v>
      </c>
      <c r="O40" s="89" t="s">
        <v>457</v>
      </c>
      <c r="P40" s="89" t="s">
        <v>74</v>
      </c>
      <c r="Q40" s="231" t="s">
        <v>456</v>
      </c>
      <c r="R40" s="89" t="s">
        <v>42</v>
      </c>
      <c r="S40" s="233">
        <v>0.6</v>
      </c>
      <c r="T40" s="130" t="s">
        <v>99</v>
      </c>
      <c r="U40" s="228">
        <v>0.8</v>
      </c>
      <c r="V40" s="85">
        <f t="shared" si="2"/>
        <v>1.4</v>
      </c>
      <c r="W40" s="85" t="s">
        <v>100</v>
      </c>
      <c r="X40" s="106" t="s">
        <v>455</v>
      </c>
      <c r="Y40" s="83" t="s">
        <v>118</v>
      </c>
      <c r="Z40" s="83">
        <v>0.25</v>
      </c>
      <c r="AA40" s="83" t="s">
        <v>43</v>
      </c>
      <c r="AB40" s="110">
        <v>0.15</v>
      </c>
      <c r="AC40" s="229">
        <v>0.4</v>
      </c>
      <c r="AD40" s="232">
        <v>0</v>
      </c>
      <c r="AE40" s="84" t="s">
        <v>44</v>
      </c>
      <c r="AF40" s="84" t="s">
        <v>126</v>
      </c>
      <c r="AG40" s="83" t="s">
        <v>129</v>
      </c>
      <c r="AH40" s="91" t="s">
        <v>46</v>
      </c>
      <c r="AI40" s="91"/>
      <c r="AJ40" s="91" t="s">
        <v>99</v>
      </c>
      <c r="AK40" s="85">
        <f>+VLOOKUP(AJ40,[6]Campos!$S$32:$T$39,2,FALSE)</f>
        <v>0.8</v>
      </c>
      <c r="AL40" s="86">
        <v>0.36</v>
      </c>
      <c r="AM40" s="85" t="str">
        <f>+VLOOKUP(AL40,[6]Campos!$W$23:$X$122,2,TRUE)</f>
        <v>Baja - 40%</v>
      </c>
      <c r="AN40" s="87">
        <f>+[6]Campos!L139</f>
        <v>0.8</v>
      </c>
      <c r="AO40" s="85" t="str">
        <f>+VLOOKUP(AN40,[6]Campos!$W$22:$Y$122,3,TRUE)</f>
        <v>4 Mayor</v>
      </c>
      <c r="AP40" s="88" t="s">
        <v>100</v>
      </c>
      <c r="AQ40" s="136" t="s">
        <v>98</v>
      </c>
      <c r="AR40" s="110" t="s">
        <v>454</v>
      </c>
      <c r="AS40" s="110" t="s">
        <v>453</v>
      </c>
      <c r="AT40" s="110" t="s">
        <v>452</v>
      </c>
      <c r="AU40" s="110" t="s">
        <v>48</v>
      </c>
      <c r="AV40" s="142">
        <v>45292</v>
      </c>
      <c r="AW40" s="142">
        <v>45638</v>
      </c>
      <c r="AX40" s="83" t="s">
        <v>451</v>
      </c>
      <c r="AY40" s="83" t="s">
        <v>450</v>
      </c>
      <c r="AZ40" s="110" t="s">
        <v>449</v>
      </c>
      <c r="BA40" s="83" t="s">
        <v>448</v>
      </c>
      <c r="BB40" s="83" t="s">
        <v>447</v>
      </c>
      <c r="BF40" s="52"/>
    </row>
    <row r="41" spans="1:60">
      <c r="AQ41" s="243"/>
    </row>
    <row r="42" spans="1:60">
      <c r="AQ42" s="243"/>
    </row>
    <row r="43" spans="1:60" customFormat="1" ht="20.149999999999999" customHeight="1">
      <c r="A43" s="177"/>
      <c r="B43" s="177"/>
      <c r="C43" s="177"/>
      <c r="D43" s="177"/>
      <c r="E43" s="177"/>
      <c r="F43" s="177"/>
      <c r="G43" s="177"/>
      <c r="H43" s="177"/>
      <c r="I43" s="177"/>
      <c r="J43" s="177"/>
      <c r="K43" s="177"/>
      <c r="L43" s="177"/>
      <c r="M43" s="177"/>
      <c r="N43" s="177"/>
      <c r="O43" s="177"/>
      <c r="P43" s="177"/>
      <c r="Q43" s="177"/>
      <c r="R43" s="177"/>
      <c r="S43" s="177"/>
      <c r="T43" s="177"/>
      <c r="U43" s="177"/>
      <c r="V43" s="177"/>
      <c r="W43" s="177"/>
      <c r="X43" s="177"/>
      <c r="Y43" s="177"/>
      <c r="Z43" s="177"/>
      <c r="AA43" s="177"/>
      <c r="AB43" s="177"/>
      <c r="AC43" s="177"/>
      <c r="AD43" s="177"/>
      <c r="AE43" s="177"/>
      <c r="AF43" s="177"/>
      <c r="AG43" s="177"/>
      <c r="AH43" s="177"/>
      <c r="AI43" s="177"/>
      <c r="AJ43" s="177"/>
      <c r="AK43" s="177"/>
      <c r="AL43" s="177"/>
      <c r="AM43" s="177"/>
      <c r="AN43" s="177"/>
      <c r="AO43" s="177"/>
      <c r="AP43" s="177"/>
      <c r="AQ43" s="177"/>
      <c r="AR43" s="243"/>
      <c r="AS43" s="243"/>
      <c r="AT43" s="243"/>
      <c r="AU43" s="243"/>
      <c r="AV43" s="243"/>
      <c r="AW43" s="243"/>
      <c r="AX43" s="243"/>
      <c r="AY43" s="243"/>
      <c r="AZ43" s="243"/>
      <c r="BA43" s="243"/>
      <c r="BB43" s="243"/>
      <c r="BC43" s="4"/>
      <c r="BD43" s="4"/>
      <c r="BE43" s="4"/>
      <c r="BF43" s="4"/>
      <c r="BG43" s="4"/>
      <c r="BH43" s="4"/>
    </row>
  </sheetData>
  <sheetProtection formatCells="0" insertRows="0" deleteRows="0"/>
  <mergeCells count="183">
    <mergeCell ref="A18:A19"/>
    <mergeCell ref="G18:G19"/>
    <mergeCell ref="F18:F19"/>
    <mergeCell ref="E18:E19"/>
    <mergeCell ref="D18:D19"/>
    <mergeCell ref="C18:C19"/>
    <mergeCell ref="L18:L19"/>
    <mergeCell ref="K18:K19"/>
    <mergeCell ref="J18:J19"/>
    <mergeCell ref="I18:I19"/>
    <mergeCell ref="H18:H19"/>
    <mergeCell ref="P18:P19"/>
    <mergeCell ref="O18:O19"/>
    <mergeCell ref="N18:N19"/>
    <mergeCell ref="M18:M19"/>
    <mergeCell ref="Z30:Z32"/>
    <mergeCell ref="B18:B19"/>
    <mergeCell ref="W18:W19"/>
    <mergeCell ref="AG18:AG19"/>
    <mergeCell ref="AF18:AF19"/>
    <mergeCell ref="AE18:AE19"/>
    <mergeCell ref="AD18:AD19"/>
    <mergeCell ref="AC18:AC19"/>
    <mergeCell ref="Q18:Q19"/>
    <mergeCell ref="V18:V19"/>
    <mergeCell ref="U18:U19"/>
    <mergeCell ref="T18:T19"/>
    <mergeCell ref="S18:S19"/>
    <mergeCell ref="R18:R19"/>
    <mergeCell ref="AY18:AY19"/>
    <mergeCell ref="BB18:BB19"/>
    <mergeCell ref="AQ18:AQ19"/>
    <mergeCell ref="AP18:AP19"/>
    <mergeCell ref="AO18:AO19"/>
    <mergeCell ref="AU18:AU19"/>
    <mergeCell ref="AV18:AV19"/>
    <mergeCell ref="AW18:AW19"/>
    <mergeCell ref="AX18:AX19"/>
    <mergeCell ref="AS10:AS11"/>
    <mergeCell ref="AT10:AT11"/>
    <mergeCell ref="AH9:AH10"/>
    <mergeCell ref="AJ9:AJ10"/>
    <mergeCell ref="AP9:AP10"/>
    <mergeCell ref="AA30:AA32"/>
    <mergeCell ref="Y30:Y32"/>
    <mergeCell ref="BB9:BB11"/>
    <mergeCell ref="AQ9:AW9"/>
    <mergeCell ref="AO9:AO10"/>
    <mergeCell ref="AX10:AX11"/>
    <mergeCell ref="AV10:AV11"/>
    <mergeCell ref="AW10:AW11"/>
    <mergeCell ref="AX9:BA9"/>
    <mergeCell ref="AQ10:AQ11"/>
    <mergeCell ref="AR10:AR11"/>
    <mergeCell ref="Z18:Z19"/>
    <mergeCell ref="AA18:AA19"/>
    <mergeCell ref="Y18:Y19"/>
    <mergeCell ref="AN9:AN10"/>
    <mergeCell ref="AI9:AI10"/>
    <mergeCell ref="AK9:AK10"/>
    <mergeCell ref="AL9:AL10"/>
    <mergeCell ref="BA30:BA32"/>
    <mergeCell ref="C1:L1"/>
    <mergeCell ref="C2:L3"/>
    <mergeCell ref="X6:AG8"/>
    <mergeCell ref="R6:W8"/>
    <mergeCell ref="A6:Q8"/>
    <mergeCell ref="V9:V10"/>
    <mergeCell ref="W9:W10"/>
    <mergeCell ref="X9:X10"/>
    <mergeCell ref="G9:G10"/>
    <mergeCell ref="I9:I10"/>
    <mergeCell ref="J9:J10"/>
    <mergeCell ref="K9:K10"/>
    <mergeCell ref="L9:L10"/>
    <mergeCell ref="F9:F10"/>
    <mergeCell ref="A9:A10"/>
    <mergeCell ref="B9:B10"/>
    <mergeCell ref="C9:C10"/>
    <mergeCell ref="D9:D10"/>
    <mergeCell ref="E9:E10"/>
    <mergeCell ref="X4:AB4"/>
    <mergeCell ref="A5:AP5"/>
    <mergeCell ref="AH6:AP8"/>
    <mergeCell ref="U9:U11"/>
    <mergeCell ref="AM9:AM10"/>
    <mergeCell ref="H9:H10"/>
    <mergeCell ref="O9:O10"/>
    <mergeCell ref="S9:S10"/>
    <mergeCell ref="Q9:Q10"/>
    <mergeCell ref="P9:P10"/>
    <mergeCell ref="Y9:AG9"/>
    <mergeCell ref="M9:N9"/>
    <mergeCell ref="R9:R10"/>
    <mergeCell ref="T9:T10"/>
    <mergeCell ref="C16:C17"/>
    <mergeCell ref="B16:B17"/>
    <mergeCell ref="A16:A17"/>
    <mergeCell ref="AN18:AN19"/>
    <mergeCell ref="AM18:AM19"/>
    <mergeCell ref="AL18:AL19"/>
    <mergeCell ref="AJ18:AJ19"/>
    <mergeCell ref="AH18:AH19"/>
    <mergeCell ref="AB18:AB19"/>
    <mergeCell ref="O16:O17"/>
    <mergeCell ref="N16:N17"/>
    <mergeCell ref="M16:M17"/>
    <mergeCell ref="L16:L17"/>
    <mergeCell ref="K16:K17"/>
    <mergeCell ref="E16:E17"/>
    <mergeCell ref="D16:D17"/>
    <mergeCell ref="J16:J17"/>
    <mergeCell ref="I16:I17"/>
    <mergeCell ref="H16:H17"/>
    <mergeCell ref="G16:G17"/>
    <mergeCell ref="F16:F17"/>
    <mergeCell ref="Q16:Q17"/>
    <mergeCell ref="P16:P17"/>
    <mergeCell ref="X18:X19"/>
    <mergeCell ref="BB30:BB32"/>
    <mergeCell ref="Q38:Q39"/>
    <mergeCell ref="D30:D32"/>
    <mergeCell ref="AV30:AV32"/>
    <mergeCell ref="AW30:AW32"/>
    <mergeCell ref="I30:I32"/>
    <mergeCell ref="H30:H32"/>
    <mergeCell ref="W30:W32"/>
    <mergeCell ref="AQ30:AQ32"/>
    <mergeCell ref="AP30:AP32"/>
    <mergeCell ref="AO30:AO32"/>
    <mergeCell ref="AN30:AN32"/>
    <mergeCell ref="AM30:AM32"/>
    <mergeCell ref="AL30:AL32"/>
    <mergeCell ref="AJ30:AJ32"/>
    <mergeCell ref="Q30:Q32"/>
    <mergeCell ref="P30:P32"/>
    <mergeCell ref="O30:O32"/>
    <mergeCell ref="N30:N32"/>
    <mergeCell ref="AX30:AX32"/>
    <mergeCell ref="AF30:AF32"/>
    <mergeCell ref="AE30:AE32"/>
    <mergeCell ref="AD30:AD32"/>
    <mergeCell ref="AS30:AS32"/>
    <mergeCell ref="AT30:AT32"/>
    <mergeCell ref="AU30:AU32"/>
    <mergeCell ref="M30:M32"/>
    <mergeCell ref="L30:L32"/>
    <mergeCell ref="K30:K32"/>
    <mergeCell ref="J30:J32"/>
    <mergeCell ref="AY30:AY32"/>
    <mergeCell ref="AZ30:AZ32"/>
    <mergeCell ref="AC30:AC32"/>
    <mergeCell ref="AB30:AB32"/>
    <mergeCell ref="AH30:AH32"/>
    <mergeCell ref="AG30:AG32"/>
    <mergeCell ref="U30:U32"/>
    <mergeCell ref="T30:T32"/>
    <mergeCell ref="S30:S32"/>
    <mergeCell ref="R30:R32"/>
    <mergeCell ref="V30:V32"/>
    <mergeCell ref="J38:J39"/>
    <mergeCell ref="I38:I39"/>
    <mergeCell ref="H38:H39"/>
    <mergeCell ref="X30:X32"/>
    <mergeCell ref="D38:D39"/>
    <mergeCell ref="C38:C39"/>
    <mergeCell ref="B38:B39"/>
    <mergeCell ref="A38:A39"/>
    <mergeCell ref="P38:P39"/>
    <mergeCell ref="O38:O39"/>
    <mergeCell ref="N38:N39"/>
    <mergeCell ref="M38:M39"/>
    <mergeCell ref="L38:L39"/>
    <mergeCell ref="K38:K39"/>
    <mergeCell ref="G30:G32"/>
    <mergeCell ref="F30:F32"/>
    <mergeCell ref="E30:E32"/>
    <mergeCell ref="G38:G39"/>
    <mergeCell ref="F38:F39"/>
    <mergeCell ref="E38:E39"/>
    <mergeCell ref="C30:C32"/>
    <mergeCell ref="A30:A32"/>
    <mergeCell ref="B30:B32"/>
  </mergeCells>
  <phoneticPr fontId="34" type="noConversion"/>
  <dataValidations count="2">
    <dataValidation allowBlank="1" showErrorMessage="1" promptTitle="Lista desplegable" prompt="Seleccione una Opción" sqref="B9:B10" xr:uid="{00000000-0002-0000-0000-000001000000}"/>
    <dataValidation allowBlank="1" showInputMessage="1" showErrorMessage="1" sqref="V12:V18 V20:V30 V33:V40" xr:uid="{00000000-0002-0000-0000-000000000000}"/>
  </dataValidations>
  <pageMargins left="0.70866141732283472" right="0.70866141732283472" top="0.98425196850393704" bottom="0.74803149606299213" header="0.19685039370078741" footer="0.31496062992125984"/>
  <pageSetup scale="10" orientation="landscape" r:id="rId1"/>
  <headerFooter>
    <oddHeader>&amp;L&amp;G&amp;C
MATRIZ DE IDENTIFICACIÓN Y SEGUIMIENTO A LOS 
RIESGOS INSTITUCIONALES&amp;R]</oddHeader>
    <oddFooter>&amp;R&amp;G
&amp;9SG-FM-043.V6</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E367F-D4DB-4BFE-9F86-966CE485999C}">
  <sheetPr>
    <tabColor theme="6" tint="-0.249977111117893"/>
  </sheetPr>
  <dimension ref="A1:BB36"/>
  <sheetViews>
    <sheetView showGridLines="0" showRuler="0" showWhiteSpace="0" zoomScale="40" zoomScaleNormal="40" zoomScaleSheetLayoutView="10" workbookViewId="0">
      <pane ySplit="11" topLeftCell="A34" activePane="bottomLeft" state="frozen"/>
      <selection pane="bottomLeft" activeCell="B37" sqref="B37"/>
    </sheetView>
  </sheetViews>
  <sheetFormatPr baseColWidth="10" defaultColWidth="11.4140625" defaultRowHeight="14"/>
  <cols>
    <col min="1" max="1" width="26.6640625" style="11" customWidth="1"/>
    <col min="2" max="2" width="28.4140625" style="11" customWidth="1"/>
    <col min="3" max="4" width="18.4140625" style="11" customWidth="1"/>
    <col min="5" max="5" width="17.4140625" style="11" customWidth="1"/>
    <col min="6" max="6" width="19.4140625" style="11" customWidth="1"/>
    <col min="7" max="7" width="25.4140625" style="11" customWidth="1"/>
    <col min="8" max="8" width="19" style="11" customWidth="1"/>
    <col min="9" max="9" width="25.75" style="11" customWidth="1"/>
    <col min="10" max="10" width="14.1640625" style="11" customWidth="1"/>
    <col min="11" max="12" width="11.4140625" style="11"/>
    <col min="13" max="13" width="16.25" style="11" customWidth="1"/>
    <col min="14" max="14" width="21.25" style="11" customWidth="1"/>
    <col min="15" max="17" width="26.75" style="11" customWidth="1"/>
    <col min="18" max="18" width="11.1640625" style="46" customWidth="1"/>
    <col min="19" max="19" width="5" style="46" hidden="1" customWidth="1"/>
    <col min="20" max="20" width="17.5" style="46" customWidth="1"/>
    <col min="21" max="21" width="5.9140625" style="46" hidden="1" customWidth="1"/>
    <col min="22" max="22" width="4.4140625" style="46" hidden="1" customWidth="1"/>
    <col min="23" max="23" width="17.9140625" style="46" customWidth="1"/>
    <col min="24" max="24" width="69.25" style="46" customWidth="1"/>
    <col min="25" max="25" width="17" style="46" customWidth="1"/>
    <col min="26" max="26" width="18.4140625" style="46" customWidth="1"/>
    <col min="27" max="27" width="15.08203125" style="46" customWidth="1"/>
    <col min="28" max="28" width="14.25" style="46" customWidth="1"/>
    <col min="29" max="29" width="19.25" style="46" customWidth="1"/>
    <col min="30" max="30" width="14.08203125" style="46" customWidth="1"/>
    <col min="31" max="32" width="17" style="46" customWidth="1"/>
    <col min="33" max="33" width="16.4140625" style="46" customWidth="1"/>
    <col min="34" max="34" width="10.33203125" style="46" hidden="1" customWidth="1"/>
    <col min="35" max="35" width="3.6640625" style="46" hidden="1" customWidth="1"/>
    <col min="36" max="36" width="9.33203125" style="46" hidden="1" customWidth="1"/>
    <col min="37" max="37" width="5.4140625" style="46" hidden="1" customWidth="1"/>
    <col min="38" max="38" width="7.25" style="46" customWidth="1"/>
    <col min="39" max="39" width="12.6640625" style="46" customWidth="1"/>
    <col min="40" max="40" width="7.25" style="46" hidden="1" customWidth="1"/>
    <col min="41" max="41" width="11.25" style="46" hidden="1" customWidth="1"/>
    <col min="42" max="42" width="23.4140625" style="46" customWidth="1"/>
    <col min="43" max="43" width="21" style="46" customWidth="1"/>
    <col min="44" max="44" width="32.9140625" style="46" customWidth="1"/>
    <col min="45" max="45" width="25.9140625" style="11" customWidth="1"/>
    <col min="46" max="46" width="38.83203125" style="11" customWidth="1"/>
    <col min="47" max="47" width="15.08203125" style="11" customWidth="1"/>
    <col min="48" max="48" width="21.25" style="11" customWidth="1"/>
    <col min="49" max="49" width="15.08203125" style="11" customWidth="1"/>
    <col min="50" max="53" width="26.4140625" style="11" customWidth="1"/>
    <col min="54" max="54" width="50.75" style="11" customWidth="1"/>
    <col min="55" max="16384" width="11.4140625" style="11"/>
  </cols>
  <sheetData>
    <row r="1" spans="1:54" customFormat="1" ht="26.25" customHeight="1">
      <c r="A1" s="212"/>
      <c r="B1" s="1"/>
      <c r="C1" s="444" t="s">
        <v>166</v>
      </c>
      <c r="D1" s="444"/>
      <c r="E1" s="444"/>
      <c r="F1" s="444"/>
      <c r="G1" s="444"/>
      <c r="H1" s="444"/>
      <c r="I1" s="444"/>
      <c r="J1" s="444"/>
      <c r="K1" s="444"/>
      <c r="L1" s="444"/>
      <c r="M1" s="2" t="s">
        <v>0</v>
      </c>
      <c r="N1" s="81" t="s">
        <v>173</v>
      </c>
      <c r="O1" s="4"/>
      <c r="P1" s="4"/>
      <c r="Q1" s="4"/>
      <c r="R1" s="64"/>
      <c r="S1" s="64"/>
      <c r="T1" s="64"/>
      <c r="U1" s="64"/>
      <c r="V1" s="64"/>
      <c r="W1" s="64"/>
      <c r="X1" s="64"/>
      <c r="Y1" s="64"/>
      <c r="Z1" s="64"/>
      <c r="AA1" s="64"/>
      <c r="AB1" s="64"/>
      <c r="AC1" s="64"/>
      <c r="AD1" s="64"/>
      <c r="AE1" s="64"/>
      <c r="AF1" s="64"/>
      <c r="AG1" s="64"/>
      <c r="AH1" s="16"/>
      <c r="AI1" s="16"/>
      <c r="AJ1" s="16"/>
      <c r="AK1" s="16"/>
      <c r="AL1" s="16"/>
      <c r="AM1" s="16"/>
      <c r="AN1" s="16"/>
      <c r="AO1" s="16"/>
      <c r="AP1" s="16"/>
      <c r="AQ1" s="16"/>
      <c r="AR1" s="16"/>
    </row>
    <row r="2" spans="1:54" customFormat="1" ht="22.5" customHeight="1">
      <c r="A2" s="211"/>
      <c r="B2" s="5"/>
      <c r="C2" s="444" t="s">
        <v>172</v>
      </c>
      <c r="D2" s="444"/>
      <c r="E2" s="444"/>
      <c r="F2" s="444"/>
      <c r="G2" s="444"/>
      <c r="H2" s="444"/>
      <c r="I2" s="444"/>
      <c r="J2" s="444"/>
      <c r="K2" s="444"/>
      <c r="L2" s="444"/>
      <c r="M2" s="2" t="s">
        <v>1</v>
      </c>
      <c r="N2" s="3">
        <v>1</v>
      </c>
      <c r="O2" s="4"/>
      <c r="P2" s="4"/>
      <c r="Q2" s="4"/>
      <c r="R2" s="64"/>
      <c r="S2" s="64"/>
      <c r="T2" s="64"/>
      <c r="U2" s="64"/>
      <c r="V2" s="64"/>
      <c r="W2" s="64"/>
      <c r="X2" s="64"/>
      <c r="Y2" s="64"/>
      <c r="Z2" s="64"/>
      <c r="AA2" s="64"/>
      <c r="AB2" s="64"/>
      <c r="AC2" s="64"/>
      <c r="AD2" s="64"/>
      <c r="AE2" s="64"/>
      <c r="AF2" s="64"/>
      <c r="AG2" s="64"/>
      <c r="AH2" s="16"/>
      <c r="AI2" s="16"/>
      <c r="AJ2" s="16"/>
      <c r="AK2" s="16"/>
      <c r="AL2" s="16"/>
      <c r="AM2" s="16"/>
      <c r="AN2" s="16"/>
      <c r="AO2" s="16"/>
      <c r="AP2" s="16"/>
      <c r="AQ2" s="16"/>
      <c r="AR2" s="16"/>
    </row>
    <row r="3" spans="1:54" customFormat="1" ht="22.5" customHeight="1">
      <c r="A3" s="210"/>
      <c r="B3" s="6"/>
      <c r="C3" s="444"/>
      <c r="D3" s="444"/>
      <c r="E3" s="444"/>
      <c r="F3" s="444"/>
      <c r="G3" s="444"/>
      <c r="H3" s="444"/>
      <c r="I3" s="444"/>
      <c r="J3" s="444"/>
      <c r="K3" s="444"/>
      <c r="L3" s="444"/>
      <c r="M3" s="2" t="s">
        <v>2</v>
      </c>
      <c r="N3" s="7">
        <v>45257</v>
      </c>
      <c r="O3" s="4"/>
      <c r="P3" s="4"/>
      <c r="Q3" s="4"/>
      <c r="R3" s="64"/>
      <c r="S3" s="64"/>
      <c r="T3" s="64"/>
      <c r="U3" s="64"/>
      <c r="V3" s="64"/>
      <c r="W3" s="64"/>
      <c r="X3" s="64"/>
      <c r="Y3" s="64"/>
      <c r="Z3" s="64"/>
      <c r="AA3" s="64"/>
      <c r="AB3" s="64"/>
      <c r="AC3" s="64"/>
      <c r="AD3" s="64"/>
      <c r="AE3" s="64"/>
      <c r="AF3" s="64"/>
      <c r="AG3" s="64"/>
      <c r="AH3" s="16"/>
      <c r="AI3" s="16"/>
      <c r="AJ3" s="16"/>
      <c r="AK3" s="16"/>
      <c r="AL3" s="16"/>
      <c r="AM3" s="16"/>
      <c r="AN3" s="16"/>
      <c r="AO3" s="16"/>
      <c r="AP3" s="16"/>
      <c r="AQ3" s="16"/>
      <c r="AR3" s="16"/>
    </row>
    <row r="4" spans="1:54" s="8" customFormat="1" ht="49.5" customHeight="1">
      <c r="N4" s="209"/>
      <c r="R4" s="73"/>
      <c r="S4" s="73"/>
      <c r="T4" s="73"/>
      <c r="U4" s="73"/>
      <c r="V4" s="73"/>
      <c r="W4" s="73"/>
      <c r="X4" s="648"/>
      <c r="Y4" s="648"/>
      <c r="Z4" s="648"/>
      <c r="AA4" s="648"/>
      <c r="AB4" s="648"/>
      <c r="AC4" s="74"/>
      <c r="AD4" s="74"/>
      <c r="AE4" s="74"/>
      <c r="AF4" s="74"/>
      <c r="AG4" s="74"/>
      <c r="AH4" s="73"/>
      <c r="AI4" s="73"/>
      <c r="AJ4" s="73"/>
      <c r="AK4" s="73"/>
      <c r="AL4" s="73"/>
      <c r="AM4" s="73"/>
      <c r="AN4" s="73"/>
      <c r="AO4" s="73"/>
      <c r="AP4" s="73"/>
      <c r="AQ4" s="73"/>
      <c r="AR4" s="73"/>
    </row>
    <row r="5" spans="1:54" customFormat="1" ht="51" customHeight="1" thickBot="1">
      <c r="A5" s="438" t="s">
        <v>198</v>
      </c>
      <c r="B5" s="439"/>
      <c r="C5" s="439"/>
      <c r="D5" s="439"/>
      <c r="E5" s="439"/>
      <c r="F5" s="439"/>
      <c r="G5" s="439"/>
      <c r="H5" s="439"/>
      <c r="I5" s="439"/>
      <c r="J5" s="439"/>
      <c r="K5" s="439"/>
      <c r="L5" s="439"/>
      <c r="M5" s="439"/>
      <c r="N5" s="439"/>
      <c r="O5" s="439"/>
      <c r="P5" s="439"/>
      <c r="Q5" s="439"/>
      <c r="R5" s="439"/>
      <c r="S5" s="439"/>
      <c r="T5" s="439"/>
      <c r="U5" s="439"/>
      <c r="V5" s="439"/>
      <c r="W5" s="439"/>
      <c r="X5" s="439"/>
      <c r="Y5" s="439"/>
      <c r="Z5" s="439"/>
      <c r="AA5" s="439"/>
      <c r="AB5" s="439"/>
      <c r="AC5" s="439"/>
      <c r="AD5" s="439"/>
      <c r="AE5" s="439"/>
      <c r="AF5" s="439"/>
      <c r="AG5" s="439"/>
      <c r="AH5" s="439"/>
      <c r="AI5" s="439"/>
      <c r="AJ5" s="439"/>
      <c r="AK5" s="439"/>
      <c r="AL5" s="439"/>
      <c r="AM5" s="439"/>
      <c r="AN5" s="439"/>
      <c r="AO5" s="439"/>
      <c r="AP5" s="439"/>
      <c r="AQ5" s="159"/>
      <c r="AR5" s="159"/>
      <c r="AS5" s="160"/>
      <c r="AT5" s="160"/>
      <c r="AU5" s="160"/>
      <c r="AV5" s="160"/>
      <c r="AW5" s="160"/>
      <c r="AX5" s="160"/>
      <c r="AY5" s="160"/>
      <c r="AZ5" s="160"/>
      <c r="BA5" s="160"/>
      <c r="BB5" s="160"/>
    </row>
    <row r="6" spans="1:54" s="9" customFormat="1" ht="12.75" customHeight="1">
      <c r="A6" s="454" t="s">
        <v>167</v>
      </c>
      <c r="B6" s="446"/>
      <c r="C6" s="446"/>
      <c r="D6" s="446"/>
      <c r="E6" s="446"/>
      <c r="F6" s="446"/>
      <c r="G6" s="446"/>
      <c r="H6" s="446"/>
      <c r="I6" s="446"/>
      <c r="J6" s="446"/>
      <c r="K6" s="446"/>
      <c r="L6" s="446"/>
      <c r="M6" s="446"/>
      <c r="N6" s="446"/>
      <c r="O6" s="446"/>
      <c r="P6" s="446"/>
      <c r="Q6" s="447"/>
      <c r="R6" s="445" t="s">
        <v>168</v>
      </c>
      <c r="S6" s="446"/>
      <c r="T6" s="446"/>
      <c r="U6" s="446"/>
      <c r="V6" s="446"/>
      <c r="W6" s="447"/>
      <c r="X6" s="445" t="s">
        <v>3</v>
      </c>
      <c r="Y6" s="446"/>
      <c r="Z6" s="446"/>
      <c r="AA6" s="446"/>
      <c r="AB6" s="446"/>
      <c r="AC6" s="446"/>
      <c r="AD6" s="446"/>
      <c r="AE6" s="446"/>
      <c r="AF6" s="446"/>
      <c r="AG6" s="447"/>
      <c r="AH6" s="440" t="s">
        <v>169</v>
      </c>
      <c r="AI6" s="440"/>
      <c r="AJ6" s="440"/>
      <c r="AK6" s="440"/>
      <c r="AL6" s="440"/>
      <c r="AM6" s="440"/>
      <c r="AN6" s="440"/>
      <c r="AO6" s="440"/>
      <c r="AP6" s="441"/>
      <c r="AQ6" s="158"/>
      <c r="AR6" s="159"/>
      <c r="AS6" s="160"/>
      <c r="AT6" s="160"/>
      <c r="AU6" s="160"/>
      <c r="AV6" s="160"/>
      <c r="AW6" s="160"/>
      <c r="AX6" s="160"/>
      <c r="AY6" s="160"/>
      <c r="AZ6" s="160"/>
      <c r="BA6" s="160"/>
      <c r="BB6" s="160"/>
    </row>
    <row r="7" spans="1:54" ht="15.75" customHeight="1">
      <c r="A7" s="455"/>
      <c r="B7" s="449"/>
      <c r="C7" s="449"/>
      <c r="D7" s="449"/>
      <c r="E7" s="449"/>
      <c r="F7" s="449"/>
      <c r="G7" s="449"/>
      <c r="H7" s="449"/>
      <c r="I7" s="449"/>
      <c r="J7" s="449"/>
      <c r="K7" s="449"/>
      <c r="L7" s="449"/>
      <c r="M7" s="449"/>
      <c r="N7" s="449"/>
      <c r="O7" s="449"/>
      <c r="P7" s="449"/>
      <c r="Q7" s="450"/>
      <c r="R7" s="448"/>
      <c r="S7" s="449"/>
      <c r="T7" s="449"/>
      <c r="U7" s="449"/>
      <c r="V7" s="449"/>
      <c r="W7" s="450"/>
      <c r="X7" s="448"/>
      <c r="Y7" s="449"/>
      <c r="Z7" s="449"/>
      <c r="AA7" s="449"/>
      <c r="AB7" s="449"/>
      <c r="AC7" s="449"/>
      <c r="AD7" s="449"/>
      <c r="AE7" s="449"/>
      <c r="AF7" s="449"/>
      <c r="AG7" s="450"/>
      <c r="AH7" s="442"/>
      <c r="AI7" s="442"/>
      <c r="AJ7" s="442"/>
      <c r="AK7" s="442"/>
      <c r="AL7" s="442"/>
      <c r="AM7" s="442"/>
      <c r="AN7" s="442"/>
      <c r="AO7" s="442"/>
      <c r="AP7" s="443"/>
      <c r="AQ7" s="158"/>
      <c r="AR7" s="159"/>
      <c r="AS7" s="160"/>
      <c r="AT7" s="160"/>
      <c r="AU7" s="160"/>
      <c r="AV7" s="160"/>
      <c r="AW7" s="160"/>
      <c r="AX7" s="160"/>
      <c r="AY7" s="160"/>
      <c r="AZ7" s="160"/>
      <c r="BA7" s="160"/>
      <c r="BB7" s="160"/>
    </row>
    <row r="8" spans="1:54" ht="29.25" customHeight="1" thickBot="1">
      <c r="A8" s="555"/>
      <c r="B8" s="553"/>
      <c r="C8" s="553"/>
      <c r="D8" s="553"/>
      <c r="E8" s="553"/>
      <c r="F8" s="553"/>
      <c r="G8" s="553"/>
      <c r="H8" s="553"/>
      <c r="I8" s="553"/>
      <c r="J8" s="553"/>
      <c r="K8" s="553"/>
      <c r="L8" s="553"/>
      <c r="M8" s="553"/>
      <c r="N8" s="553"/>
      <c r="O8" s="553"/>
      <c r="P8" s="553"/>
      <c r="Q8" s="554"/>
      <c r="R8" s="552"/>
      <c r="S8" s="553"/>
      <c r="T8" s="553"/>
      <c r="U8" s="553"/>
      <c r="V8" s="553"/>
      <c r="W8" s="554"/>
      <c r="X8" s="552"/>
      <c r="Y8" s="553"/>
      <c r="Z8" s="553"/>
      <c r="AA8" s="553"/>
      <c r="AB8" s="553"/>
      <c r="AC8" s="553"/>
      <c r="AD8" s="553"/>
      <c r="AE8" s="553"/>
      <c r="AF8" s="553"/>
      <c r="AG8" s="554"/>
      <c r="AH8" s="573"/>
      <c r="AI8" s="573"/>
      <c r="AJ8" s="573"/>
      <c r="AK8" s="573"/>
      <c r="AL8" s="573"/>
      <c r="AM8" s="573"/>
      <c r="AN8" s="573"/>
      <c r="AO8" s="573"/>
      <c r="AP8" s="574"/>
      <c r="AQ8" s="159"/>
      <c r="AR8" s="159"/>
      <c r="AS8" s="160"/>
      <c r="AT8" s="160"/>
      <c r="AU8" s="160"/>
      <c r="AV8" s="160"/>
      <c r="AW8" s="160"/>
      <c r="AX8" s="160"/>
      <c r="AY8" s="160"/>
      <c r="AZ8" s="160"/>
      <c r="BA8" s="160"/>
      <c r="BB8" s="160"/>
    </row>
    <row r="9" spans="1:54" ht="51" customHeight="1" thickBot="1">
      <c r="A9" s="567" t="s">
        <v>4</v>
      </c>
      <c r="B9" s="539" t="s">
        <v>5</v>
      </c>
      <c r="C9" s="549" t="s">
        <v>6</v>
      </c>
      <c r="D9" s="539" t="s">
        <v>7</v>
      </c>
      <c r="E9" s="541" t="s">
        <v>8</v>
      </c>
      <c r="F9" s="542" t="s">
        <v>9</v>
      </c>
      <c r="G9" s="541" t="s">
        <v>10</v>
      </c>
      <c r="H9" s="539" t="s">
        <v>158</v>
      </c>
      <c r="I9" s="563" t="s">
        <v>11</v>
      </c>
      <c r="J9" s="565" t="s">
        <v>12</v>
      </c>
      <c r="K9" s="541" t="s">
        <v>199</v>
      </c>
      <c r="L9" s="541" t="s">
        <v>13</v>
      </c>
      <c r="M9" s="545" t="s">
        <v>14</v>
      </c>
      <c r="N9" s="549"/>
      <c r="O9" s="541" t="s">
        <v>22</v>
      </c>
      <c r="P9" s="539" t="s">
        <v>23</v>
      </c>
      <c r="Q9" s="545" t="s">
        <v>24</v>
      </c>
      <c r="R9" s="550" t="s">
        <v>15</v>
      </c>
      <c r="S9" s="543" t="s">
        <v>17</v>
      </c>
      <c r="T9" s="550" t="s">
        <v>16</v>
      </c>
      <c r="U9" s="543" t="s">
        <v>17</v>
      </c>
      <c r="V9" s="556" t="s">
        <v>148</v>
      </c>
      <c r="W9" s="558" t="s">
        <v>18</v>
      </c>
      <c r="X9" s="560" t="s">
        <v>19</v>
      </c>
      <c r="Y9" s="646" t="s">
        <v>20</v>
      </c>
      <c r="Z9" s="646"/>
      <c r="AA9" s="646"/>
      <c r="AB9" s="646"/>
      <c r="AC9" s="646"/>
      <c r="AD9" s="646"/>
      <c r="AE9" s="646"/>
      <c r="AF9" s="646"/>
      <c r="AG9" s="647"/>
      <c r="AH9" s="578" t="s">
        <v>15</v>
      </c>
      <c r="AI9" s="580" t="s">
        <v>145</v>
      </c>
      <c r="AJ9" s="580" t="s">
        <v>142</v>
      </c>
      <c r="AK9" s="591" t="s">
        <v>149</v>
      </c>
      <c r="AL9" s="575" t="s">
        <v>146</v>
      </c>
      <c r="AM9" s="575" t="s">
        <v>165</v>
      </c>
      <c r="AN9" s="575" t="s">
        <v>147</v>
      </c>
      <c r="AO9" s="575" t="s">
        <v>165</v>
      </c>
      <c r="AP9" s="582" t="s">
        <v>150</v>
      </c>
      <c r="AQ9" s="642" t="s">
        <v>171</v>
      </c>
      <c r="AR9" s="643"/>
      <c r="AS9" s="643"/>
      <c r="AT9" s="643"/>
      <c r="AU9" s="643"/>
      <c r="AV9" s="643"/>
      <c r="AW9" s="645"/>
      <c r="AX9" s="642" t="s">
        <v>170</v>
      </c>
      <c r="AY9" s="643"/>
      <c r="AZ9" s="643"/>
      <c r="BA9" s="643"/>
      <c r="BB9" s="584" t="s">
        <v>41</v>
      </c>
    </row>
    <row r="10" spans="1:54" ht="63.75" customHeight="1" thickBot="1">
      <c r="A10" s="568"/>
      <c r="B10" s="540"/>
      <c r="C10" s="569"/>
      <c r="D10" s="540"/>
      <c r="E10" s="562"/>
      <c r="F10" s="566"/>
      <c r="G10" s="562"/>
      <c r="H10" s="540"/>
      <c r="I10" s="564"/>
      <c r="J10" s="560"/>
      <c r="K10" s="542"/>
      <c r="L10" s="542"/>
      <c r="M10" s="151" t="s">
        <v>21</v>
      </c>
      <c r="N10" s="151" t="s">
        <v>200</v>
      </c>
      <c r="O10" s="542"/>
      <c r="P10" s="540"/>
      <c r="Q10" s="546"/>
      <c r="R10" s="551"/>
      <c r="S10" s="544" t="s">
        <v>17</v>
      </c>
      <c r="T10" s="551"/>
      <c r="U10" s="543"/>
      <c r="V10" s="557"/>
      <c r="W10" s="559"/>
      <c r="X10" s="561"/>
      <c r="Y10" s="214" t="s">
        <v>25</v>
      </c>
      <c r="Z10" s="215" t="s">
        <v>26</v>
      </c>
      <c r="AA10" s="214" t="s">
        <v>27</v>
      </c>
      <c r="AB10" s="213" t="s">
        <v>26</v>
      </c>
      <c r="AC10" s="213" t="s">
        <v>162</v>
      </c>
      <c r="AD10" s="213" t="s">
        <v>163</v>
      </c>
      <c r="AE10" s="214" t="s">
        <v>201</v>
      </c>
      <c r="AF10" s="214" t="s">
        <v>28</v>
      </c>
      <c r="AG10" s="216" t="s">
        <v>29</v>
      </c>
      <c r="AH10" s="579"/>
      <c r="AI10" s="581"/>
      <c r="AJ10" s="581"/>
      <c r="AK10" s="592"/>
      <c r="AL10" s="576"/>
      <c r="AM10" s="576"/>
      <c r="AN10" s="576"/>
      <c r="AO10" s="576"/>
      <c r="AP10" s="583"/>
      <c r="AQ10" s="590" t="s">
        <v>30</v>
      </c>
      <c r="AR10" s="577" t="s">
        <v>31</v>
      </c>
      <c r="AS10" s="577" t="s">
        <v>32</v>
      </c>
      <c r="AT10" s="577" t="s">
        <v>33</v>
      </c>
      <c r="AU10" s="218" t="s">
        <v>34</v>
      </c>
      <c r="AV10" s="577" t="s">
        <v>35</v>
      </c>
      <c r="AW10" s="577" t="s">
        <v>36</v>
      </c>
      <c r="AX10" s="577" t="s">
        <v>37</v>
      </c>
      <c r="AY10" s="217" t="s">
        <v>38</v>
      </c>
      <c r="AZ10" s="217" t="s">
        <v>39</v>
      </c>
      <c r="BA10" s="217" t="s">
        <v>40</v>
      </c>
      <c r="BB10" s="585"/>
    </row>
    <row r="11" spans="1:54" ht="0.75" customHeight="1" thickBot="1">
      <c r="A11" s="160"/>
      <c r="B11" s="160"/>
      <c r="C11" s="160"/>
      <c r="D11" s="160"/>
      <c r="E11" s="160"/>
      <c r="F11" s="160"/>
      <c r="G11" s="160"/>
      <c r="H11" s="160"/>
      <c r="I11" s="160"/>
      <c r="J11" s="260"/>
      <c r="K11" s="160"/>
      <c r="L11" s="160"/>
      <c r="M11" s="160"/>
      <c r="N11" s="261"/>
      <c r="O11" s="262"/>
      <c r="P11" s="262"/>
      <c r="Q11" s="262"/>
      <c r="R11" s="263"/>
      <c r="S11" s="264"/>
      <c r="T11" s="265"/>
      <c r="U11" s="543"/>
      <c r="V11" s="266"/>
      <c r="W11" s="266"/>
      <c r="X11" s="267"/>
      <c r="Y11" s="268"/>
      <c r="Z11" s="269"/>
      <c r="AA11" s="269"/>
      <c r="AB11" s="269"/>
      <c r="AC11" s="269"/>
      <c r="AD11" s="159"/>
      <c r="AE11" s="159"/>
      <c r="AF11" s="159"/>
      <c r="AG11" s="159"/>
      <c r="AH11" s="270"/>
      <c r="AI11" s="270"/>
      <c r="AJ11" s="270"/>
      <c r="AK11" s="271"/>
      <c r="AL11" s="271"/>
      <c r="AM11" s="271"/>
      <c r="AN11" s="271"/>
      <c r="AO11" s="271"/>
      <c r="AP11" s="272"/>
      <c r="AQ11" s="644"/>
      <c r="AR11" s="641"/>
      <c r="AS11" s="641"/>
      <c r="AT11" s="641"/>
      <c r="AU11" s="274"/>
      <c r="AV11" s="641"/>
      <c r="AW11" s="641"/>
      <c r="AX11" s="641"/>
      <c r="AY11" s="273"/>
      <c r="AZ11" s="273"/>
      <c r="BA11" s="273"/>
      <c r="BB11" s="585"/>
    </row>
    <row r="12" spans="1:54" s="51" customFormat="1" ht="231" customHeight="1">
      <c r="A12" s="649" t="s">
        <v>922</v>
      </c>
      <c r="B12" s="596" t="s">
        <v>51</v>
      </c>
      <c r="C12" s="596" t="s">
        <v>921</v>
      </c>
      <c r="D12" s="596" t="s">
        <v>67</v>
      </c>
      <c r="E12" s="596" t="s">
        <v>67</v>
      </c>
      <c r="F12" s="596" t="s">
        <v>920</v>
      </c>
      <c r="G12" s="596" t="s">
        <v>919</v>
      </c>
      <c r="H12" s="596" t="s">
        <v>159</v>
      </c>
      <c r="I12" s="596" t="s">
        <v>71</v>
      </c>
      <c r="J12" s="596" t="s">
        <v>178</v>
      </c>
      <c r="K12" s="596" t="s">
        <v>178</v>
      </c>
      <c r="L12" s="596" t="s">
        <v>74</v>
      </c>
      <c r="M12" s="596" t="s">
        <v>918</v>
      </c>
      <c r="N12" s="596" t="s">
        <v>917</v>
      </c>
      <c r="O12" s="611" t="s">
        <v>177</v>
      </c>
      <c r="P12" s="618" t="s">
        <v>74</v>
      </c>
      <c r="Q12" s="653" t="s">
        <v>916</v>
      </c>
      <c r="R12" s="618" t="s">
        <v>108</v>
      </c>
      <c r="S12" s="618">
        <f>VLOOKUP(R12,[7]Campos!$H$11:$Q$37,3,FALSE)</f>
        <v>63</v>
      </c>
      <c r="T12" s="618" t="s">
        <v>99</v>
      </c>
      <c r="U12" s="618">
        <f>VLOOKUP(Selección1,[7]Campos!$K$11:$M$37,2,FALSE)</f>
        <v>4</v>
      </c>
      <c r="V12" s="618">
        <f t="shared" ref="V12:V18" si="0">+S12+U12</f>
        <v>67</v>
      </c>
      <c r="W12" s="618" t="str">
        <f>+VLOOKUP(V12,[7]Campos!$M$11:$N$37,2,FALSE)</f>
        <v>4 - Zona de riesgo Alta</v>
      </c>
      <c r="X12" s="275" t="s">
        <v>915</v>
      </c>
      <c r="Y12" s="276" t="s">
        <v>118</v>
      </c>
      <c r="Z12" s="276">
        <v>0.25</v>
      </c>
      <c r="AA12" s="276" t="s">
        <v>43</v>
      </c>
      <c r="AB12" s="276">
        <f>VLOOKUP(AA12,[7]Campos!$D$66:$E$67,2,FALSE)</f>
        <v>0.15</v>
      </c>
      <c r="AC12" s="276">
        <f t="shared" ref="AC12:AC18" si="1">+Z12+AB12</f>
        <v>0.4</v>
      </c>
      <c r="AD12" s="276" t="s">
        <v>876</v>
      </c>
      <c r="AE12" s="277" t="s">
        <v>44</v>
      </c>
      <c r="AF12" s="277" t="s">
        <v>126</v>
      </c>
      <c r="AG12" s="276" t="s">
        <v>129</v>
      </c>
      <c r="AH12" s="636" t="s">
        <v>134</v>
      </c>
      <c r="AI12" s="636">
        <v>0.2</v>
      </c>
      <c r="AJ12" s="636" t="s">
        <v>99</v>
      </c>
      <c r="AK12" s="636">
        <v>0.8</v>
      </c>
      <c r="AL12" s="650">
        <f>+AI12-(AI12*AC12)</f>
        <v>0.12</v>
      </c>
      <c r="AM12" s="650" t="str">
        <f>+VLOOKUP(AL12,[7]Campos!$W$23:$X$122,2,TRUE)</f>
        <v>Muy Baja - 20%</v>
      </c>
      <c r="AN12" s="650">
        <f>+IF(Y12="Correctivo",AK12*AD12,AK12*1)</f>
        <v>0.8</v>
      </c>
      <c r="AO12" s="650" t="str">
        <f>+VLOOKUP(AN12,[7]Campos!$W$22:$Y$122,3,TRUE)</f>
        <v>4 Mayor</v>
      </c>
      <c r="AP12" s="660" t="s">
        <v>100</v>
      </c>
      <c r="AQ12" s="657" t="str">
        <f>+VLOOKUP(AP12,[7]Campos!K100:L106,2,FALSE)</f>
        <v>Reducir el riesgo</v>
      </c>
      <c r="AR12" s="276" t="s">
        <v>914</v>
      </c>
      <c r="AS12" s="276" t="s">
        <v>913</v>
      </c>
      <c r="AT12" s="276" t="s">
        <v>979</v>
      </c>
      <c r="AU12" s="276" t="s">
        <v>157</v>
      </c>
      <c r="AV12" s="280">
        <v>45292</v>
      </c>
      <c r="AW12" s="280">
        <v>45657</v>
      </c>
      <c r="AX12" s="276" t="s">
        <v>831</v>
      </c>
      <c r="AY12" s="276" t="s">
        <v>830</v>
      </c>
      <c r="AZ12" s="276" t="s">
        <v>912</v>
      </c>
      <c r="BA12" s="276" t="s">
        <v>643</v>
      </c>
      <c r="BB12" s="656" t="s">
        <v>911</v>
      </c>
    </row>
    <row r="13" spans="1:54" s="51" customFormat="1" ht="194.5" customHeight="1">
      <c r="A13" s="624"/>
      <c r="B13" s="480"/>
      <c r="C13" s="480"/>
      <c r="D13" s="480"/>
      <c r="E13" s="480"/>
      <c r="F13" s="480"/>
      <c r="G13" s="480"/>
      <c r="H13" s="480"/>
      <c r="I13" s="480"/>
      <c r="J13" s="480"/>
      <c r="K13" s="480"/>
      <c r="L13" s="480"/>
      <c r="M13" s="480"/>
      <c r="N13" s="480"/>
      <c r="O13" s="503"/>
      <c r="P13" s="619"/>
      <c r="Q13" s="626"/>
      <c r="R13" s="619"/>
      <c r="S13" s="619" t="e">
        <f>VLOOKUP(R13,[7]Campos!$H$11:$Q$37,3,FALSE)</f>
        <v>#N/A</v>
      </c>
      <c r="T13" s="619"/>
      <c r="U13" s="619">
        <f>VLOOKUP(Selección1,[7]Campos!$K$11:$M$37,2,FALSE)</f>
        <v>4</v>
      </c>
      <c r="V13" s="619" t="e">
        <f t="shared" si="0"/>
        <v>#N/A</v>
      </c>
      <c r="W13" s="619" t="e">
        <f>+VLOOKUP(V13,[7]Campos!$M$11:$N$37,2,FALSE)</f>
        <v>#N/A</v>
      </c>
      <c r="X13" s="282" t="s">
        <v>910</v>
      </c>
      <c r="Y13" s="117" t="s">
        <v>118</v>
      </c>
      <c r="Z13" s="118">
        <v>0.25</v>
      </c>
      <c r="AA13" s="118" t="s">
        <v>43</v>
      </c>
      <c r="AB13" s="118">
        <f>VLOOKUP(AA13,[7]Campos!$D$66:$E$67,2,FALSE)</f>
        <v>0.15</v>
      </c>
      <c r="AC13" s="118">
        <f t="shared" si="1"/>
        <v>0.4</v>
      </c>
      <c r="AD13" s="118" t="s">
        <v>876</v>
      </c>
      <c r="AE13" s="283" t="s">
        <v>44</v>
      </c>
      <c r="AF13" s="283" t="s">
        <v>126</v>
      </c>
      <c r="AG13" s="284" t="s">
        <v>129</v>
      </c>
      <c r="AH13" s="637"/>
      <c r="AI13" s="637"/>
      <c r="AJ13" s="637"/>
      <c r="AK13" s="637" t="e">
        <f>+VLOOKUP(AJ13,[7]Campos!$S$32:$T$39,2,FALSE)</f>
        <v>#N/A</v>
      </c>
      <c r="AL13" s="651"/>
      <c r="AM13" s="651"/>
      <c r="AN13" s="651"/>
      <c r="AO13" s="651"/>
      <c r="AP13" s="661"/>
      <c r="AQ13" s="658"/>
      <c r="AR13" s="284" t="s">
        <v>909</v>
      </c>
      <c r="AS13" s="284" t="s">
        <v>895</v>
      </c>
      <c r="AT13" s="284" t="s">
        <v>894</v>
      </c>
      <c r="AU13" s="284" t="s">
        <v>157</v>
      </c>
      <c r="AV13" s="285">
        <v>45292</v>
      </c>
      <c r="AW13" s="285">
        <v>45657</v>
      </c>
      <c r="AX13" s="284" t="s">
        <v>908</v>
      </c>
      <c r="AY13" s="118" t="s">
        <v>907</v>
      </c>
      <c r="AZ13" s="118" t="s">
        <v>882</v>
      </c>
      <c r="BA13" s="118" t="s">
        <v>643</v>
      </c>
      <c r="BB13" s="629"/>
    </row>
    <row r="14" spans="1:54" s="51" customFormat="1" ht="186" customHeight="1">
      <c r="A14" s="624"/>
      <c r="B14" s="480"/>
      <c r="C14" s="480"/>
      <c r="D14" s="480"/>
      <c r="E14" s="480"/>
      <c r="F14" s="480"/>
      <c r="G14" s="480"/>
      <c r="H14" s="480"/>
      <c r="I14" s="480"/>
      <c r="J14" s="480"/>
      <c r="K14" s="480"/>
      <c r="L14" s="480"/>
      <c r="M14" s="480"/>
      <c r="N14" s="480"/>
      <c r="O14" s="502" t="s">
        <v>457</v>
      </c>
      <c r="P14" s="619"/>
      <c r="Q14" s="286" t="s">
        <v>906</v>
      </c>
      <c r="R14" s="619"/>
      <c r="S14" s="619" t="e">
        <f>VLOOKUP(R14,[7]Campos!$H$11:$Q$37,3,FALSE)</f>
        <v>#N/A</v>
      </c>
      <c r="T14" s="619"/>
      <c r="U14" s="619">
        <f>VLOOKUP(Selección1,[7]Campos!$K$11:$M$37,2,FALSE)</f>
        <v>4</v>
      </c>
      <c r="V14" s="619" t="e">
        <f t="shared" si="0"/>
        <v>#N/A</v>
      </c>
      <c r="W14" s="619" t="e">
        <f>+VLOOKUP(V14,[7]Campos!$M$11:$N$37,2,FALSE)</f>
        <v>#N/A</v>
      </c>
      <c r="X14" s="282" t="s">
        <v>905</v>
      </c>
      <c r="Y14" s="117" t="s">
        <v>118</v>
      </c>
      <c r="Z14" s="118">
        <v>0.25</v>
      </c>
      <c r="AA14" s="118" t="s">
        <v>43</v>
      </c>
      <c r="AB14" s="118">
        <f>VLOOKUP(AA14,[7]Campos!$D$66:$E$67,2,FALSE)</f>
        <v>0.15</v>
      </c>
      <c r="AC14" s="118">
        <f t="shared" si="1"/>
        <v>0.4</v>
      </c>
      <c r="AD14" s="118" t="s">
        <v>876</v>
      </c>
      <c r="AE14" s="283" t="s">
        <v>44</v>
      </c>
      <c r="AF14" s="283" t="s">
        <v>126</v>
      </c>
      <c r="AG14" s="284" t="s">
        <v>129</v>
      </c>
      <c r="AH14" s="637"/>
      <c r="AI14" s="637"/>
      <c r="AJ14" s="637"/>
      <c r="AK14" s="637" t="e">
        <f>+VLOOKUP(AJ14,[7]Campos!$S$32:$T$39,2,FALSE)</f>
        <v>#N/A</v>
      </c>
      <c r="AL14" s="651"/>
      <c r="AM14" s="651"/>
      <c r="AN14" s="651"/>
      <c r="AO14" s="651"/>
      <c r="AP14" s="661"/>
      <c r="AQ14" s="658"/>
      <c r="AR14" s="284" t="s">
        <v>904</v>
      </c>
      <c r="AS14" s="284" t="s">
        <v>903</v>
      </c>
      <c r="AT14" s="284" t="s">
        <v>902</v>
      </c>
      <c r="AU14" s="284" t="s">
        <v>816</v>
      </c>
      <c r="AV14" s="285">
        <v>45444</v>
      </c>
      <c r="AW14" s="285">
        <v>45519</v>
      </c>
      <c r="AX14" s="284" t="s">
        <v>901</v>
      </c>
      <c r="AY14" s="118" t="s">
        <v>900</v>
      </c>
      <c r="AZ14" s="118" t="s">
        <v>899</v>
      </c>
      <c r="BA14" s="118" t="s">
        <v>643</v>
      </c>
      <c r="BB14" s="629"/>
    </row>
    <row r="15" spans="1:54" s="51" customFormat="1" ht="139.5">
      <c r="A15" s="624"/>
      <c r="B15" s="480"/>
      <c r="C15" s="480"/>
      <c r="D15" s="480"/>
      <c r="E15" s="480"/>
      <c r="F15" s="480"/>
      <c r="G15" s="480"/>
      <c r="H15" s="480"/>
      <c r="I15" s="480"/>
      <c r="J15" s="480"/>
      <c r="K15" s="480"/>
      <c r="L15" s="480"/>
      <c r="M15" s="480"/>
      <c r="N15" s="480"/>
      <c r="O15" s="515"/>
      <c r="P15" s="619"/>
      <c r="Q15" s="286" t="s">
        <v>898</v>
      </c>
      <c r="R15" s="619"/>
      <c r="S15" s="619" t="e">
        <f>VLOOKUP(R15,[7]Campos!$H$11:$Q$37,3,FALSE)</f>
        <v>#N/A</v>
      </c>
      <c r="T15" s="619"/>
      <c r="U15" s="619">
        <f>VLOOKUP(Selección1,[7]Campos!$K$11:$M$37,2,FALSE)</f>
        <v>4</v>
      </c>
      <c r="V15" s="619" t="e">
        <f t="shared" si="0"/>
        <v>#N/A</v>
      </c>
      <c r="W15" s="619" t="e">
        <f>+VLOOKUP(V15,[7]Campos!$M$11:$N$37,2,FALSE)</f>
        <v>#N/A</v>
      </c>
      <c r="X15" s="282" t="s">
        <v>897</v>
      </c>
      <c r="Y15" s="117" t="s">
        <v>118</v>
      </c>
      <c r="Z15" s="118">
        <v>0.25</v>
      </c>
      <c r="AA15" s="118" t="s">
        <v>43</v>
      </c>
      <c r="AB15" s="118">
        <f>VLOOKUP(AA15,[7]Campos!$D$66:$E$67,2,FALSE)</f>
        <v>0.15</v>
      </c>
      <c r="AC15" s="118">
        <f t="shared" si="1"/>
        <v>0.4</v>
      </c>
      <c r="AD15" s="118" t="s">
        <v>876</v>
      </c>
      <c r="AE15" s="283" t="s">
        <v>44</v>
      </c>
      <c r="AF15" s="283" t="s">
        <v>126</v>
      </c>
      <c r="AG15" s="284" t="s">
        <v>129</v>
      </c>
      <c r="AH15" s="637"/>
      <c r="AI15" s="637"/>
      <c r="AJ15" s="637"/>
      <c r="AK15" s="637" t="e">
        <f>+VLOOKUP(AJ15,[7]Campos!$S$32:$T$39,2,FALSE)</f>
        <v>#N/A</v>
      </c>
      <c r="AL15" s="651"/>
      <c r="AM15" s="651"/>
      <c r="AN15" s="651"/>
      <c r="AO15" s="651"/>
      <c r="AP15" s="661"/>
      <c r="AQ15" s="658"/>
      <c r="AR15" s="631" t="s">
        <v>896</v>
      </c>
      <c r="AS15" s="631" t="s">
        <v>895</v>
      </c>
      <c r="AT15" s="631" t="s">
        <v>894</v>
      </c>
      <c r="AU15" s="631" t="s">
        <v>244</v>
      </c>
      <c r="AV15" s="632">
        <v>45292</v>
      </c>
      <c r="AW15" s="632">
        <v>45657</v>
      </c>
      <c r="AX15" s="631" t="s">
        <v>893</v>
      </c>
      <c r="AY15" s="631" t="s">
        <v>892</v>
      </c>
      <c r="AZ15" s="631" t="s">
        <v>882</v>
      </c>
      <c r="BA15" s="631" t="s">
        <v>643</v>
      </c>
      <c r="BB15" s="629"/>
    </row>
    <row r="16" spans="1:54" s="51" customFormat="1" ht="129.75" customHeight="1">
      <c r="A16" s="624"/>
      <c r="B16" s="480"/>
      <c r="C16" s="480"/>
      <c r="D16" s="480"/>
      <c r="E16" s="480"/>
      <c r="F16" s="480"/>
      <c r="G16" s="480"/>
      <c r="H16" s="480"/>
      <c r="I16" s="480"/>
      <c r="J16" s="480"/>
      <c r="K16" s="480"/>
      <c r="L16" s="480"/>
      <c r="M16" s="480"/>
      <c r="N16" s="480"/>
      <c r="O16" s="515"/>
      <c r="P16" s="619"/>
      <c r="Q16" s="286" t="s">
        <v>891</v>
      </c>
      <c r="R16" s="619"/>
      <c r="S16" s="619" t="e">
        <f>VLOOKUP(R16,[7]Campos!$H$11:$Q$37,3,FALSE)</f>
        <v>#N/A</v>
      </c>
      <c r="T16" s="619"/>
      <c r="U16" s="619">
        <f>VLOOKUP(Selección1,[7]Campos!$K$11:$M$37,2,FALSE)</f>
        <v>4</v>
      </c>
      <c r="V16" s="619" t="e">
        <f t="shared" si="0"/>
        <v>#N/A</v>
      </c>
      <c r="W16" s="619" t="e">
        <f>+VLOOKUP(V16,[7]Campos!$M$11:$N$37,2,FALSE)</f>
        <v>#N/A</v>
      </c>
      <c r="X16" s="282" t="s">
        <v>890</v>
      </c>
      <c r="Y16" s="117" t="s">
        <v>118</v>
      </c>
      <c r="Z16" s="118">
        <v>0.25</v>
      </c>
      <c r="AA16" s="118" t="s">
        <v>43</v>
      </c>
      <c r="AB16" s="118">
        <f>VLOOKUP(AA16,[7]Campos!$D$66:$E$67,2,FALSE)</f>
        <v>0.15</v>
      </c>
      <c r="AC16" s="118">
        <f t="shared" si="1"/>
        <v>0.4</v>
      </c>
      <c r="AD16" s="118" t="s">
        <v>876</v>
      </c>
      <c r="AE16" s="283" t="s">
        <v>44</v>
      </c>
      <c r="AF16" s="283" t="s">
        <v>126</v>
      </c>
      <c r="AG16" s="284" t="s">
        <v>129</v>
      </c>
      <c r="AH16" s="637"/>
      <c r="AI16" s="637"/>
      <c r="AJ16" s="637"/>
      <c r="AK16" s="637" t="e">
        <f>+VLOOKUP(AJ16,[7]Campos!$S$32:$T$39,2,FALSE)</f>
        <v>#N/A</v>
      </c>
      <c r="AL16" s="651"/>
      <c r="AM16" s="651"/>
      <c r="AN16" s="651"/>
      <c r="AO16" s="651"/>
      <c r="AP16" s="661"/>
      <c r="AQ16" s="658"/>
      <c r="AR16" s="621"/>
      <c r="AS16" s="621"/>
      <c r="AT16" s="621"/>
      <c r="AU16" s="621"/>
      <c r="AV16" s="633"/>
      <c r="AW16" s="633"/>
      <c r="AX16" s="621"/>
      <c r="AY16" s="621"/>
      <c r="AZ16" s="621"/>
      <c r="BA16" s="621"/>
      <c r="BB16" s="629"/>
    </row>
    <row r="17" spans="1:54" s="51" customFormat="1" ht="111" customHeight="1">
      <c r="A17" s="624"/>
      <c r="B17" s="480"/>
      <c r="C17" s="480"/>
      <c r="D17" s="480"/>
      <c r="E17" s="480"/>
      <c r="F17" s="480"/>
      <c r="G17" s="480"/>
      <c r="H17" s="480"/>
      <c r="I17" s="480"/>
      <c r="J17" s="480"/>
      <c r="K17" s="480"/>
      <c r="L17" s="480"/>
      <c r="M17" s="480"/>
      <c r="N17" s="480"/>
      <c r="O17" s="515"/>
      <c r="P17" s="619"/>
      <c r="Q17" s="627" t="s">
        <v>889</v>
      </c>
      <c r="R17" s="619"/>
      <c r="S17" s="619" t="e">
        <f>VLOOKUP(R17,[7]Campos!$H$11:$Q$37,3,FALSE)</f>
        <v>#N/A</v>
      </c>
      <c r="T17" s="619"/>
      <c r="U17" s="619">
        <f>VLOOKUP(Selección1,[7]Campos!$K$11:$M$37,2,FALSE)</f>
        <v>4</v>
      </c>
      <c r="V17" s="619" t="e">
        <f t="shared" si="0"/>
        <v>#N/A</v>
      </c>
      <c r="W17" s="619" t="e">
        <f>+VLOOKUP(V17,[7]Campos!$M$11:$N$37,2,FALSE)</f>
        <v>#N/A</v>
      </c>
      <c r="X17" s="282" t="s">
        <v>888</v>
      </c>
      <c r="Y17" s="117" t="s">
        <v>118</v>
      </c>
      <c r="Z17" s="118">
        <v>0.25</v>
      </c>
      <c r="AA17" s="118" t="s">
        <v>43</v>
      </c>
      <c r="AB17" s="118">
        <f>VLOOKUP(AA17,[7]Campos!$D$66:$E$67,2,FALSE)</f>
        <v>0.15</v>
      </c>
      <c r="AC17" s="118">
        <f t="shared" si="1"/>
        <v>0.4</v>
      </c>
      <c r="AD17" s="118" t="s">
        <v>876</v>
      </c>
      <c r="AE17" s="283" t="s">
        <v>44</v>
      </c>
      <c r="AF17" s="283" t="s">
        <v>126</v>
      </c>
      <c r="AG17" s="284" t="s">
        <v>129</v>
      </c>
      <c r="AH17" s="637"/>
      <c r="AI17" s="637"/>
      <c r="AJ17" s="637"/>
      <c r="AK17" s="637" t="e">
        <f>+VLOOKUP(AJ17,[7]Campos!$S$32:$T$39,2,FALSE)</f>
        <v>#N/A</v>
      </c>
      <c r="AL17" s="651"/>
      <c r="AM17" s="651"/>
      <c r="AN17" s="651"/>
      <c r="AO17" s="651"/>
      <c r="AP17" s="661"/>
      <c r="AQ17" s="658"/>
      <c r="AR17" s="474" t="s">
        <v>887</v>
      </c>
      <c r="AS17" s="474" t="s">
        <v>886</v>
      </c>
      <c r="AT17" s="474" t="s">
        <v>885</v>
      </c>
      <c r="AU17" s="474" t="s">
        <v>244</v>
      </c>
      <c r="AV17" s="635">
        <v>45292</v>
      </c>
      <c r="AW17" s="635">
        <v>45657</v>
      </c>
      <c r="AX17" s="631" t="s">
        <v>884</v>
      </c>
      <c r="AY17" s="631" t="s">
        <v>883</v>
      </c>
      <c r="AZ17" s="631" t="s">
        <v>882</v>
      </c>
      <c r="BA17" s="631" t="s">
        <v>812</v>
      </c>
      <c r="BB17" s="629"/>
    </row>
    <row r="18" spans="1:54" s="51" customFormat="1" ht="105.75" customHeight="1">
      <c r="A18" s="624"/>
      <c r="B18" s="480"/>
      <c r="C18" s="480"/>
      <c r="D18" s="480"/>
      <c r="E18" s="480"/>
      <c r="F18" s="480"/>
      <c r="G18" s="480"/>
      <c r="H18" s="480"/>
      <c r="I18" s="480"/>
      <c r="J18" s="480"/>
      <c r="K18" s="480"/>
      <c r="L18" s="480"/>
      <c r="M18" s="480"/>
      <c r="N18" s="480"/>
      <c r="O18" s="515"/>
      <c r="P18" s="619"/>
      <c r="Q18" s="626"/>
      <c r="R18" s="619"/>
      <c r="S18" s="619" t="e">
        <f>VLOOKUP(R18,[7]Campos!$H$11:$Q$37,3,FALSE)</f>
        <v>#N/A</v>
      </c>
      <c r="T18" s="619"/>
      <c r="U18" s="619">
        <f>VLOOKUP(Selección1,[7]Campos!$K$11:$M$37,2,FALSE)</f>
        <v>4</v>
      </c>
      <c r="V18" s="619" t="e">
        <f t="shared" si="0"/>
        <v>#N/A</v>
      </c>
      <c r="W18" s="619" t="e">
        <f>+VLOOKUP(V18,[7]Campos!$M$11:$N$37,2,FALSE)</f>
        <v>#N/A</v>
      </c>
      <c r="X18" s="282" t="s">
        <v>881</v>
      </c>
      <c r="Y18" s="117" t="s">
        <v>118</v>
      </c>
      <c r="Z18" s="118">
        <v>0.25</v>
      </c>
      <c r="AA18" s="118" t="s">
        <v>43</v>
      </c>
      <c r="AB18" s="118">
        <f>VLOOKUP(AA18,[7]Campos!$D$66:$E$67,2,FALSE)</f>
        <v>0.15</v>
      </c>
      <c r="AC18" s="118">
        <f t="shared" si="1"/>
        <v>0.4</v>
      </c>
      <c r="AD18" s="118" t="s">
        <v>876</v>
      </c>
      <c r="AE18" s="283" t="s">
        <v>44</v>
      </c>
      <c r="AF18" s="283" t="s">
        <v>126</v>
      </c>
      <c r="AG18" s="284" t="s">
        <v>129</v>
      </c>
      <c r="AH18" s="637"/>
      <c r="AI18" s="637"/>
      <c r="AJ18" s="637"/>
      <c r="AK18" s="637" t="e">
        <f>+VLOOKUP(AJ18,[7]Campos!$S$32:$T$39,2,FALSE)</f>
        <v>#N/A</v>
      </c>
      <c r="AL18" s="651"/>
      <c r="AM18" s="651"/>
      <c r="AN18" s="651"/>
      <c r="AO18" s="651"/>
      <c r="AP18" s="661"/>
      <c r="AQ18" s="658"/>
      <c r="AR18" s="474"/>
      <c r="AS18" s="474"/>
      <c r="AT18" s="474"/>
      <c r="AU18" s="474"/>
      <c r="AV18" s="635"/>
      <c r="AW18" s="635"/>
      <c r="AX18" s="619"/>
      <c r="AY18" s="619"/>
      <c r="AZ18" s="619"/>
      <c r="BA18" s="619"/>
      <c r="BB18" s="629"/>
    </row>
    <row r="19" spans="1:54" s="51" customFormat="1" ht="177.75" customHeight="1">
      <c r="A19" s="624"/>
      <c r="B19" s="480"/>
      <c r="C19" s="480"/>
      <c r="D19" s="480"/>
      <c r="E19" s="480"/>
      <c r="F19" s="480"/>
      <c r="G19" s="480"/>
      <c r="H19" s="480"/>
      <c r="I19" s="480"/>
      <c r="J19" s="480"/>
      <c r="K19" s="480"/>
      <c r="L19" s="480"/>
      <c r="M19" s="480"/>
      <c r="N19" s="480"/>
      <c r="O19" s="515"/>
      <c r="P19" s="619"/>
      <c r="Q19" s="289" t="s">
        <v>880</v>
      </c>
      <c r="R19" s="619"/>
      <c r="S19" s="619"/>
      <c r="T19" s="619"/>
      <c r="U19" s="619"/>
      <c r="V19" s="619"/>
      <c r="W19" s="619"/>
      <c r="X19" s="290" t="s">
        <v>879</v>
      </c>
      <c r="Y19" s="291" t="s">
        <v>118</v>
      </c>
      <c r="Z19" s="118">
        <v>0.25</v>
      </c>
      <c r="AA19" s="287" t="s">
        <v>43</v>
      </c>
      <c r="AB19" s="287">
        <v>0.15</v>
      </c>
      <c r="AC19" s="287">
        <v>0.4</v>
      </c>
      <c r="AD19" s="118" t="s">
        <v>876</v>
      </c>
      <c r="AE19" s="283" t="s">
        <v>44</v>
      </c>
      <c r="AF19" s="283" t="s">
        <v>126</v>
      </c>
      <c r="AG19" s="284" t="s">
        <v>129</v>
      </c>
      <c r="AH19" s="637"/>
      <c r="AI19" s="637"/>
      <c r="AJ19" s="637"/>
      <c r="AK19" s="637"/>
      <c r="AL19" s="651"/>
      <c r="AM19" s="651"/>
      <c r="AN19" s="651"/>
      <c r="AO19" s="651"/>
      <c r="AP19" s="661"/>
      <c r="AQ19" s="658"/>
      <c r="AR19" s="474"/>
      <c r="AS19" s="474"/>
      <c r="AT19" s="474"/>
      <c r="AU19" s="474"/>
      <c r="AV19" s="635"/>
      <c r="AW19" s="635"/>
      <c r="AX19" s="619"/>
      <c r="AY19" s="619"/>
      <c r="AZ19" s="619"/>
      <c r="BA19" s="619"/>
      <c r="BB19" s="629"/>
    </row>
    <row r="20" spans="1:54" s="51" customFormat="1" ht="228.5" customHeight="1" thickBot="1">
      <c r="A20" s="625"/>
      <c r="B20" s="594"/>
      <c r="C20" s="594"/>
      <c r="D20" s="594"/>
      <c r="E20" s="594"/>
      <c r="F20" s="594"/>
      <c r="G20" s="594"/>
      <c r="H20" s="594"/>
      <c r="I20" s="594"/>
      <c r="J20" s="594"/>
      <c r="K20" s="594"/>
      <c r="L20" s="594"/>
      <c r="M20" s="594"/>
      <c r="N20" s="594"/>
      <c r="O20" s="610"/>
      <c r="P20" s="620"/>
      <c r="Q20" s="293" t="s">
        <v>878</v>
      </c>
      <c r="R20" s="620"/>
      <c r="S20" s="620" t="e">
        <f>VLOOKUP(R20,[7]Campos!$H$11:$Q$37,3,FALSE)</f>
        <v>#N/A</v>
      </c>
      <c r="T20" s="620"/>
      <c r="U20" s="620">
        <f>VLOOKUP(Selección1,[7]Campos!$K$11:$M$37,2,FALSE)</f>
        <v>4</v>
      </c>
      <c r="V20" s="620" t="e">
        <f>+S20+U20</f>
        <v>#N/A</v>
      </c>
      <c r="W20" s="620" t="e">
        <f>+VLOOKUP(V20,[7]Campos!$M$11:$N$37,2,FALSE)</f>
        <v>#N/A</v>
      </c>
      <c r="X20" s="294" t="s">
        <v>877</v>
      </c>
      <c r="Y20" s="295" t="s">
        <v>118</v>
      </c>
      <c r="Z20" s="296">
        <v>0.25</v>
      </c>
      <c r="AA20" s="296" t="s">
        <v>43</v>
      </c>
      <c r="AB20" s="296">
        <f>VLOOKUP(AA20,[7]Campos!$D$66:$E$67,2,FALSE)</f>
        <v>0.15</v>
      </c>
      <c r="AC20" s="296">
        <f t="shared" ref="AC20:AC30" si="2">+Z20+AB20</f>
        <v>0.4</v>
      </c>
      <c r="AD20" s="296" t="s">
        <v>876</v>
      </c>
      <c r="AE20" s="297" t="s">
        <v>44</v>
      </c>
      <c r="AF20" s="297" t="s">
        <v>126</v>
      </c>
      <c r="AG20" s="292" t="s">
        <v>129</v>
      </c>
      <c r="AH20" s="638"/>
      <c r="AI20" s="638"/>
      <c r="AJ20" s="638"/>
      <c r="AK20" s="638" t="e">
        <f>+VLOOKUP(AJ20,[7]Campos!$S$32:$T$39,2,FALSE)</f>
        <v>#N/A</v>
      </c>
      <c r="AL20" s="652"/>
      <c r="AM20" s="652"/>
      <c r="AN20" s="652"/>
      <c r="AO20" s="652"/>
      <c r="AP20" s="662"/>
      <c r="AQ20" s="659"/>
      <c r="AR20" s="292" t="s">
        <v>875</v>
      </c>
      <c r="AS20" s="292" t="s">
        <v>874</v>
      </c>
      <c r="AT20" s="298" t="s">
        <v>873</v>
      </c>
      <c r="AU20" s="298" t="s">
        <v>816</v>
      </c>
      <c r="AV20" s="299">
        <v>45383</v>
      </c>
      <c r="AW20" s="299">
        <v>45657</v>
      </c>
      <c r="AX20" s="620"/>
      <c r="AY20" s="620"/>
      <c r="AZ20" s="620"/>
      <c r="BA20" s="620"/>
      <c r="BB20" s="630"/>
    </row>
    <row r="21" spans="1:54" s="51" customFormat="1" ht="117" customHeight="1">
      <c r="A21" s="624" t="s">
        <v>923</v>
      </c>
      <c r="B21" s="480" t="s">
        <v>51</v>
      </c>
      <c r="C21" s="480" t="s">
        <v>840</v>
      </c>
      <c r="D21" s="480" t="s">
        <v>67</v>
      </c>
      <c r="E21" s="480" t="s">
        <v>67</v>
      </c>
      <c r="F21" s="480" t="s">
        <v>872</v>
      </c>
      <c r="G21" s="480" t="s">
        <v>871</v>
      </c>
      <c r="H21" s="480" t="s">
        <v>159</v>
      </c>
      <c r="I21" s="480" t="s">
        <v>205</v>
      </c>
      <c r="J21" s="480" t="s">
        <v>178</v>
      </c>
      <c r="K21" s="480" t="s">
        <v>178</v>
      </c>
      <c r="L21" s="480" t="s">
        <v>74</v>
      </c>
      <c r="M21" s="480" t="s">
        <v>870</v>
      </c>
      <c r="N21" s="515" t="s">
        <v>869</v>
      </c>
      <c r="O21" s="515" t="s">
        <v>177</v>
      </c>
      <c r="P21" s="622" t="s">
        <v>74</v>
      </c>
      <c r="Q21" s="622" t="s">
        <v>868</v>
      </c>
      <c r="R21" s="622" t="s">
        <v>108</v>
      </c>
      <c r="S21" s="637">
        <f>VLOOKUP(R21,[7]Campos!$H$11:$Q$37,3,FALSE)</f>
        <v>63</v>
      </c>
      <c r="T21" s="639" t="s">
        <v>101</v>
      </c>
      <c r="U21" s="637">
        <f>VLOOKUP(Selección1,[7]Campos!$K$11:$M$37,2,FALSE)</f>
        <v>4</v>
      </c>
      <c r="V21" s="637">
        <f>+S21+U21</f>
        <v>67</v>
      </c>
      <c r="W21" s="637" t="str">
        <f>+VLOOKUP(V21,[7]Campos!$M$11:$N$37,2,FALSE)</f>
        <v>4 - Zona de riesgo Alta</v>
      </c>
      <c r="X21" s="663" t="s">
        <v>867</v>
      </c>
      <c r="Y21" s="300" t="s">
        <v>846</v>
      </c>
      <c r="Z21" s="284">
        <v>0.25</v>
      </c>
      <c r="AA21" s="284" t="s">
        <v>43</v>
      </c>
      <c r="AB21" s="284">
        <f>VLOOKUP(AA21,[7]Campos!$D$66:$E$67,2,FALSE)</f>
        <v>0.15</v>
      </c>
      <c r="AC21" s="284">
        <f t="shared" si="2"/>
        <v>0.4</v>
      </c>
      <c r="AD21" s="284" t="s">
        <v>820</v>
      </c>
      <c r="AE21" s="283" t="s">
        <v>44</v>
      </c>
      <c r="AF21" s="283" t="s">
        <v>126</v>
      </c>
      <c r="AG21" s="284" t="s">
        <v>129</v>
      </c>
      <c r="AH21" s="637" t="s">
        <v>134</v>
      </c>
      <c r="AI21" s="637">
        <v>0.2</v>
      </c>
      <c r="AJ21" s="637" t="s">
        <v>99</v>
      </c>
      <c r="AK21" s="637">
        <f>+VLOOKUP(AJ21,[7]Campos!$S$32:$T$39,2,FALSE)</f>
        <v>0.8</v>
      </c>
      <c r="AL21" s="654">
        <v>0.2</v>
      </c>
      <c r="AM21" s="637" t="str">
        <f>+VLOOKUP(AL21,[7]Campos!$W$23:$X$122,2,TRUE)</f>
        <v>Muy Baja - 20%</v>
      </c>
      <c r="AN21" s="637">
        <v>0.8</v>
      </c>
      <c r="AO21" s="637" t="str">
        <f>+VLOOKUP(AN21,[7]Campos!$W$22:$Y$122,3,TRUE)</f>
        <v>4 Mayor</v>
      </c>
      <c r="AP21" s="661" t="s">
        <v>100</v>
      </c>
      <c r="AQ21" s="658" t="s">
        <v>98</v>
      </c>
      <c r="AR21" s="619" t="s">
        <v>866</v>
      </c>
      <c r="AS21" s="619" t="s">
        <v>865</v>
      </c>
      <c r="AT21" s="619" t="s">
        <v>849</v>
      </c>
      <c r="AU21" s="619" t="s">
        <v>157</v>
      </c>
      <c r="AV21" s="655">
        <v>45292</v>
      </c>
      <c r="AW21" s="655">
        <v>45657</v>
      </c>
      <c r="AX21" s="619" t="s">
        <v>831</v>
      </c>
      <c r="AY21" s="619" t="s">
        <v>830</v>
      </c>
      <c r="AZ21" s="619" t="s">
        <v>856</v>
      </c>
      <c r="BA21" s="619" t="s">
        <v>643</v>
      </c>
      <c r="BB21" s="480" t="s">
        <v>864</v>
      </c>
    </row>
    <row r="22" spans="1:54" s="51" customFormat="1" ht="119.25" customHeight="1">
      <c r="A22" s="624"/>
      <c r="B22" s="480"/>
      <c r="C22" s="480"/>
      <c r="D22" s="480"/>
      <c r="E22" s="480"/>
      <c r="F22" s="480"/>
      <c r="G22" s="480"/>
      <c r="H22" s="480"/>
      <c r="I22" s="480"/>
      <c r="J22" s="480"/>
      <c r="K22" s="480"/>
      <c r="L22" s="480"/>
      <c r="M22" s="480"/>
      <c r="N22" s="503"/>
      <c r="O22" s="503"/>
      <c r="P22" s="622"/>
      <c r="Q22" s="622"/>
      <c r="R22" s="622"/>
      <c r="S22" s="637"/>
      <c r="T22" s="639"/>
      <c r="U22" s="637"/>
      <c r="V22" s="637"/>
      <c r="W22" s="637"/>
      <c r="X22" s="664"/>
      <c r="Y22" s="117" t="s">
        <v>846</v>
      </c>
      <c r="Z22" s="118">
        <v>0.25</v>
      </c>
      <c r="AA22" s="118" t="s">
        <v>43</v>
      </c>
      <c r="AB22" s="118">
        <f>VLOOKUP(AA22,[7]Campos!$D$66:$E$67,2,FALSE)</f>
        <v>0.15</v>
      </c>
      <c r="AC22" s="118">
        <f t="shared" si="2"/>
        <v>0.4</v>
      </c>
      <c r="AD22" s="118" t="s">
        <v>820</v>
      </c>
      <c r="AE22" s="119" t="s">
        <v>44</v>
      </c>
      <c r="AF22" s="119" t="s">
        <v>126</v>
      </c>
      <c r="AG22" s="118" t="s">
        <v>129</v>
      </c>
      <c r="AH22" s="637"/>
      <c r="AI22" s="637"/>
      <c r="AJ22" s="637"/>
      <c r="AK22" s="637" t="e">
        <f>+VLOOKUP(AJ22,[7]Campos!$S$32:$T$39,2,FALSE)</f>
        <v>#N/A</v>
      </c>
      <c r="AL22" s="637">
        <f>+[7]Campos!K120</f>
        <v>0</v>
      </c>
      <c r="AM22" s="637" t="e">
        <f>+VLOOKUP(AL22,[7]Campos!$W$23:$X$122,2,TRUE)</f>
        <v>#N/A</v>
      </c>
      <c r="AN22" s="637">
        <f>+[7]Campos!L120</f>
        <v>0</v>
      </c>
      <c r="AO22" s="637" t="e">
        <f>+VLOOKUP(AN22,[7]Campos!$W$22:$Y$122,3,TRUE)</f>
        <v>#N/A</v>
      </c>
      <c r="AP22" s="661"/>
      <c r="AQ22" s="658"/>
      <c r="AR22" s="621"/>
      <c r="AS22" s="621"/>
      <c r="AT22" s="621"/>
      <c r="AU22" s="621"/>
      <c r="AV22" s="633"/>
      <c r="AW22" s="633"/>
      <c r="AX22" s="621"/>
      <c r="AY22" s="621"/>
      <c r="AZ22" s="621"/>
      <c r="BA22" s="621"/>
      <c r="BB22" s="481"/>
    </row>
    <row r="23" spans="1:54" s="51" customFormat="1" ht="147" customHeight="1">
      <c r="A23" s="624"/>
      <c r="B23" s="480"/>
      <c r="C23" s="480"/>
      <c r="D23" s="480"/>
      <c r="E23" s="480"/>
      <c r="F23" s="480"/>
      <c r="G23" s="480"/>
      <c r="H23" s="480"/>
      <c r="I23" s="480"/>
      <c r="J23" s="480"/>
      <c r="K23" s="480"/>
      <c r="L23" s="480"/>
      <c r="M23" s="480"/>
      <c r="N23" s="502" t="s">
        <v>863</v>
      </c>
      <c r="O23" s="502" t="s">
        <v>457</v>
      </c>
      <c r="P23" s="622"/>
      <c r="Q23" s="626"/>
      <c r="R23" s="622"/>
      <c r="S23" s="637"/>
      <c r="T23" s="639"/>
      <c r="U23" s="637"/>
      <c r="V23" s="637"/>
      <c r="W23" s="637"/>
      <c r="X23" s="282" t="s">
        <v>862</v>
      </c>
      <c r="Y23" s="117" t="s">
        <v>846</v>
      </c>
      <c r="Z23" s="118">
        <v>0.25</v>
      </c>
      <c r="AA23" s="118" t="s">
        <v>43</v>
      </c>
      <c r="AB23" s="118">
        <f>VLOOKUP(AA23,[7]Campos!$D$66:$E$67,2,FALSE)</f>
        <v>0.15</v>
      </c>
      <c r="AC23" s="118">
        <f t="shared" si="2"/>
        <v>0.4</v>
      </c>
      <c r="AD23" s="118" t="s">
        <v>820</v>
      </c>
      <c r="AE23" s="119" t="s">
        <v>44</v>
      </c>
      <c r="AF23" s="119" t="s">
        <v>126</v>
      </c>
      <c r="AG23" s="118" t="s">
        <v>129</v>
      </c>
      <c r="AH23" s="637"/>
      <c r="AI23" s="637"/>
      <c r="AJ23" s="637"/>
      <c r="AK23" s="637" t="e">
        <f>+VLOOKUP(AJ23,[7]Campos!$S$32:$T$39,2,FALSE)</f>
        <v>#N/A</v>
      </c>
      <c r="AL23" s="637">
        <f>+[7]Campos!K121</f>
        <v>0</v>
      </c>
      <c r="AM23" s="637" t="e">
        <f>+VLOOKUP(AL23,[7]Campos!$W$23:$X$122,2,TRUE)</f>
        <v>#N/A</v>
      </c>
      <c r="AN23" s="637">
        <f>+[7]Campos!L121</f>
        <v>0</v>
      </c>
      <c r="AO23" s="637" t="e">
        <f>+VLOOKUP(AN23,[7]Campos!$W$22:$Y$122,3,TRUE)</f>
        <v>#N/A</v>
      </c>
      <c r="AP23" s="661"/>
      <c r="AQ23" s="658"/>
      <c r="AR23" s="284" t="s">
        <v>861</v>
      </c>
      <c r="AS23" s="284" t="s">
        <v>860</v>
      </c>
      <c r="AT23" s="284" t="s">
        <v>859</v>
      </c>
      <c r="AU23" s="284" t="s">
        <v>244</v>
      </c>
      <c r="AV23" s="285">
        <v>45627</v>
      </c>
      <c r="AW23" s="285">
        <v>45657</v>
      </c>
      <c r="AX23" s="631" t="s">
        <v>858</v>
      </c>
      <c r="AY23" s="631" t="s">
        <v>857</v>
      </c>
      <c r="AZ23" s="631" t="s">
        <v>856</v>
      </c>
      <c r="BA23" s="631" t="s">
        <v>643</v>
      </c>
      <c r="BB23" s="628" t="s">
        <v>855</v>
      </c>
    </row>
    <row r="24" spans="1:54" s="51" customFormat="1" ht="90" customHeight="1">
      <c r="A24" s="624"/>
      <c r="B24" s="480"/>
      <c r="C24" s="480"/>
      <c r="D24" s="480"/>
      <c r="E24" s="480"/>
      <c r="F24" s="480"/>
      <c r="G24" s="480"/>
      <c r="H24" s="480"/>
      <c r="I24" s="480"/>
      <c r="J24" s="480"/>
      <c r="K24" s="480"/>
      <c r="L24" s="480"/>
      <c r="M24" s="480"/>
      <c r="N24" s="515"/>
      <c r="O24" s="515"/>
      <c r="P24" s="622"/>
      <c r="Q24" s="627" t="s">
        <v>854</v>
      </c>
      <c r="R24" s="622"/>
      <c r="S24" s="637"/>
      <c r="T24" s="639"/>
      <c r="U24" s="637"/>
      <c r="V24" s="637"/>
      <c r="W24" s="637"/>
      <c r="X24" s="282" t="s">
        <v>853</v>
      </c>
      <c r="Y24" s="117" t="s">
        <v>852</v>
      </c>
      <c r="Z24" s="118">
        <v>0.15</v>
      </c>
      <c r="AA24" s="118" t="s">
        <v>43</v>
      </c>
      <c r="AB24" s="118">
        <f>VLOOKUP(AA24,[7]Campos!$D$66:$E$67,2,FALSE)</f>
        <v>0.15</v>
      </c>
      <c r="AC24" s="118">
        <f t="shared" si="2"/>
        <v>0.3</v>
      </c>
      <c r="AD24" s="118" t="s">
        <v>820</v>
      </c>
      <c r="AE24" s="119" t="s">
        <v>44</v>
      </c>
      <c r="AF24" s="119" t="s">
        <v>126</v>
      </c>
      <c r="AG24" s="118" t="s">
        <v>129</v>
      </c>
      <c r="AH24" s="637"/>
      <c r="AI24" s="637"/>
      <c r="AJ24" s="637"/>
      <c r="AK24" s="637" t="e">
        <f>+VLOOKUP(AJ24,[7]Campos!$S$32:$T$39,2,FALSE)</f>
        <v>#N/A</v>
      </c>
      <c r="AL24" s="637">
        <f>+[7]Campos!K122</f>
        <v>0</v>
      </c>
      <c r="AM24" s="637" t="e">
        <f>+VLOOKUP(AL24,[7]Campos!$W$23:$X$122,2,TRUE)</f>
        <v>#N/A</v>
      </c>
      <c r="AN24" s="637">
        <f>+[7]Campos!L122</f>
        <v>0</v>
      </c>
      <c r="AO24" s="637" t="e">
        <f>+VLOOKUP(AN24,[7]Campos!$W$22:$Y$122,3,TRUE)</f>
        <v>#N/A</v>
      </c>
      <c r="AP24" s="661"/>
      <c r="AQ24" s="658"/>
      <c r="AR24" s="631" t="s">
        <v>851</v>
      </c>
      <c r="AS24" s="631" t="s">
        <v>850</v>
      </c>
      <c r="AT24" s="631" t="s">
        <v>849</v>
      </c>
      <c r="AU24" s="631" t="s">
        <v>244</v>
      </c>
      <c r="AV24" s="632">
        <v>45292</v>
      </c>
      <c r="AW24" s="632">
        <v>45657</v>
      </c>
      <c r="AX24" s="619"/>
      <c r="AY24" s="619"/>
      <c r="AZ24" s="619"/>
      <c r="BA24" s="619"/>
      <c r="BB24" s="629"/>
    </row>
    <row r="25" spans="1:54" s="51" customFormat="1" ht="171" customHeight="1">
      <c r="A25" s="624"/>
      <c r="B25" s="480"/>
      <c r="C25" s="480"/>
      <c r="D25" s="480"/>
      <c r="E25" s="480"/>
      <c r="F25" s="480"/>
      <c r="G25" s="480"/>
      <c r="H25" s="480"/>
      <c r="I25" s="480"/>
      <c r="J25" s="480"/>
      <c r="K25" s="480"/>
      <c r="L25" s="480"/>
      <c r="M25" s="480"/>
      <c r="N25" s="515"/>
      <c r="O25" s="515"/>
      <c r="P25" s="622"/>
      <c r="Q25" s="622"/>
      <c r="R25" s="622"/>
      <c r="S25" s="637"/>
      <c r="T25" s="639"/>
      <c r="U25" s="637"/>
      <c r="V25" s="637"/>
      <c r="W25" s="637"/>
      <c r="X25" s="282" t="s">
        <v>848</v>
      </c>
      <c r="Y25" s="117" t="s">
        <v>846</v>
      </c>
      <c r="Z25" s="118">
        <v>0.25</v>
      </c>
      <c r="AA25" s="118" t="s">
        <v>43</v>
      </c>
      <c r="AB25" s="118">
        <f>VLOOKUP(AA25,[7]Campos!$D$66:$E$67,2,FALSE)</f>
        <v>0.15</v>
      </c>
      <c r="AC25" s="118">
        <f t="shared" si="2"/>
        <v>0.4</v>
      </c>
      <c r="AD25" s="118" t="s">
        <v>820</v>
      </c>
      <c r="AE25" s="119" t="s">
        <v>44</v>
      </c>
      <c r="AF25" s="119" t="s">
        <v>126</v>
      </c>
      <c r="AG25" s="118" t="s">
        <v>129</v>
      </c>
      <c r="AH25" s="637"/>
      <c r="AI25" s="637"/>
      <c r="AJ25" s="637"/>
      <c r="AK25" s="637" t="e">
        <f>+VLOOKUP(AJ25,[7]Campos!$S$32:$T$39,2,FALSE)</f>
        <v>#N/A</v>
      </c>
      <c r="AL25" s="637">
        <f>+[7]Campos!K123</f>
        <v>0</v>
      </c>
      <c r="AM25" s="637" t="e">
        <f>+VLOOKUP(AL25,[7]Campos!$W$23:$X$122,2,TRUE)</f>
        <v>#N/A</v>
      </c>
      <c r="AN25" s="637">
        <f>+[7]Campos!L123</f>
        <v>0</v>
      </c>
      <c r="AO25" s="637" t="e">
        <f>+VLOOKUP(AN25,[7]Campos!$W$22:$Y$122,3,TRUE)</f>
        <v>#N/A</v>
      </c>
      <c r="AP25" s="661"/>
      <c r="AQ25" s="658"/>
      <c r="AR25" s="621"/>
      <c r="AS25" s="621"/>
      <c r="AT25" s="621"/>
      <c r="AU25" s="621"/>
      <c r="AV25" s="633"/>
      <c r="AW25" s="633"/>
      <c r="AX25" s="619"/>
      <c r="AY25" s="619"/>
      <c r="AZ25" s="619"/>
      <c r="BA25" s="619"/>
      <c r="BB25" s="629"/>
    </row>
    <row r="26" spans="1:54" s="51" customFormat="1" ht="205.5" customHeight="1">
      <c r="A26" s="624"/>
      <c r="B26" s="480"/>
      <c r="C26" s="480"/>
      <c r="D26" s="480"/>
      <c r="E26" s="480"/>
      <c r="F26" s="480"/>
      <c r="G26" s="480"/>
      <c r="H26" s="480"/>
      <c r="I26" s="480"/>
      <c r="J26" s="480"/>
      <c r="K26" s="480"/>
      <c r="L26" s="480"/>
      <c r="M26" s="480"/>
      <c r="N26" s="515"/>
      <c r="O26" s="515"/>
      <c r="P26" s="622"/>
      <c r="Q26" s="626"/>
      <c r="R26" s="622"/>
      <c r="S26" s="637"/>
      <c r="T26" s="639"/>
      <c r="U26" s="637"/>
      <c r="V26" s="637"/>
      <c r="W26" s="637"/>
      <c r="X26" s="282" t="s">
        <v>847</v>
      </c>
      <c r="Y26" s="117" t="s">
        <v>846</v>
      </c>
      <c r="Z26" s="118">
        <v>0.25</v>
      </c>
      <c r="AA26" s="118" t="s">
        <v>43</v>
      </c>
      <c r="AB26" s="118">
        <f>VLOOKUP(AA26,[7]Campos!$D$66:$E$67,2,FALSE)</f>
        <v>0.15</v>
      </c>
      <c r="AC26" s="118">
        <f t="shared" si="2"/>
        <v>0.4</v>
      </c>
      <c r="AD26" s="118" t="s">
        <v>820</v>
      </c>
      <c r="AE26" s="119" t="s">
        <v>44</v>
      </c>
      <c r="AF26" s="119" t="s">
        <v>126</v>
      </c>
      <c r="AG26" s="118" t="s">
        <v>129</v>
      </c>
      <c r="AH26" s="637"/>
      <c r="AI26" s="637"/>
      <c r="AJ26" s="637"/>
      <c r="AK26" s="637" t="e">
        <f>+VLOOKUP(AJ26,[7]Campos!$S$32:$T$39,2,FALSE)</f>
        <v>#N/A</v>
      </c>
      <c r="AL26" s="637">
        <f>+[7]Campos!K124</f>
        <v>0</v>
      </c>
      <c r="AM26" s="637" t="e">
        <f>+VLOOKUP(AL26,[7]Campos!$W$23:$X$122,2,TRUE)</f>
        <v>#N/A</v>
      </c>
      <c r="AN26" s="637">
        <f>+[7]Campos!L124</f>
        <v>0</v>
      </c>
      <c r="AO26" s="637" t="e">
        <f>+VLOOKUP(AN26,[7]Campos!$W$22:$Y$122,3,TRUE)</f>
        <v>#N/A</v>
      </c>
      <c r="AP26" s="661"/>
      <c r="AQ26" s="658"/>
      <c r="AR26" s="631" t="s">
        <v>845</v>
      </c>
      <c r="AS26" s="631" t="s">
        <v>844</v>
      </c>
      <c r="AT26" s="631" t="s">
        <v>843</v>
      </c>
      <c r="AU26" s="631" t="s">
        <v>244</v>
      </c>
      <c r="AV26" s="632">
        <v>45292</v>
      </c>
      <c r="AW26" s="632">
        <v>45657</v>
      </c>
      <c r="AX26" s="619"/>
      <c r="AY26" s="619"/>
      <c r="AZ26" s="619"/>
      <c r="BA26" s="619"/>
      <c r="BB26" s="629"/>
    </row>
    <row r="27" spans="1:54" s="51" customFormat="1" ht="201" customHeight="1" thickBot="1">
      <c r="A27" s="625"/>
      <c r="B27" s="594"/>
      <c r="C27" s="594"/>
      <c r="D27" s="594"/>
      <c r="E27" s="594"/>
      <c r="F27" s="594"/>
      <c r="G27" s="594"/>
      <c r="H27" s="594"/>
      <c r="I27" s="594"/>
      <c r="J27" s="594"/>
      <c r="K27" s="594"/>
      <c r="L27" s="594"/>
      <c r="M27" s="594"/>
      <c r="N27" s="610"/>
      <c r="O27" s="610"/>
      <c r="P27" s="623"/>
      <c r="Q27" s="293" t="s">
        <v>842</v>
      </c>
      <c r="R27" s="623"/>
      <c r="S27" s="638"/>
      <c r="T27" s="640"/>
      <c r="U27" s="638"/>
      <c r="V27" s="638"/>
      <c r="W27" s="638"/>
      <c r="X27" s="294" t="s">
        <v>841</v>
      </c>
      <c r="Y27" s="117" t="s">
        <v>120</v>
      </c>
      <c r="Z27" s="296">
        <v>0.15</v>
      </c>
      <c r="AA27" s="296" t="s">
        <v>43</v>
      </c>
      <c r="AB27" s="296">
        <f>VLOOKUP(AA27,[7]Campos!$D$66:$E$67,2,FALSE)</f>
        <v>0.15</v>
      </c>
      <c r="AC27" s="296">
        <f t="shared" si="2"/>
        <v>0.3</v>
      </c>
      <c r="AD27" s="296" t="s">
        <v>820</v>
      </c>
      <c r="AE27" s="301" t="s">
        <v>44</v>
      </c>
      <c r="AF27" s="301" t="s">
        <v>126</v>
      </c>
      <c r="AG27" s="296" t="s">
        <v>129</v>
      </c>
      <c r="AH27" s="638"/>
      <c r="AI27" s="638"/>
      <c r="AJ27" s="638"/>
      <c r="AK27" s="638" t="e">
        <f>+VLOOKUP(AJ27,[7]Campos!$S$32:$T$39,2,FALSE)</f>
        <v>#N/A</v>
      </c>
      <c r="AL27" s="638">
        <f>+[7]Campos!K125</f>
        <v>0</v>
      </c>
      <c r="AM27" s="638" t="e">
        <f>+VLOOKUP(AL27,[7]Campos!$W$23:$X$122,2,TRUE)</f>
        <v>#N/A</v>
      </c>
      <c r="AN27" s="638">
        <f>+[7]Campos!L125</f>
        <v>0</v>
      </c>
      <c r="AO27" s="638" t="e">
        <f>+VLOOKUP(AN27,[7]Campos!$W$22:$Y$122,3,TRUE)</f>
        <v>#N/A</v>
      </c>
      <c r="AP27" s="662"/>
      <c r="AQ27" s="659"/>
      <c r="AR27" s="620"/>
      <c r="AS27" s="620"/>
      <c r="AT27" s="620"/>
      <c r="AU27" s="620"/>
      <c r="AV27" s="634"/>
      <c r="AW27" s="634"/>
      <c r="AX27" s="620"/>
      <c r="AY27" s="620"/>
      <c r="AZ27" s="620"/>
      <c r="BA27" s="620"/>
      <c r="BB27" s="630"/>
    </row>
    <row r="28" spans="1:54" s="51" customFormat="1" ht="124.5" customHeight="1" thickBot="1">
      <c r="A28" s="615" t="s">
        <v>969</v>
      </c>
      <c r="B28" s="596" t="s">
        <v>51</v>
      </c>
      <c r="C28" s="596" t="s">
        <v>840</v>
      </c>
      <c r="D28" s="596" t="s">
        <v>66</v>
      </c>
      <c r="E28" s="596" t="s">
        <v>66</v>
      </c>
      <c r="F28" s="618" t="s">
        <v>839</v>
      </c>
      <c r="G28" s="596" t="s">
        <v>838</v>
      </c>
      <c r="H28" s="596" t="s">
        <v>159</v>
      </c>
      <c r="I28" s="596" t="s">
        <v>205</v>
      </c>
      <c r="J28" s="596" t="s">
        <v>178</v>
      </c>
      <c r="K28" s="596" t="s">
        <v>178</v>
      </c>
      <c r="L28" s="596" t="s">
        <v>81</v>
      </c>
      <c r="M28" s="596" t="s">
        <v>837</v>
      </c>
      <c r="N28" s="596" t="s">
        <v>836</v>
      </c>
      <c r="O28" s="596" t="s">
        <v>457</v>
      </c>
      <c r="P28" s="596" t="s">
        <v>74</v>
      </c>
      <c r="Q28" s="302" t="s">
        <v>835</v>
      </c>
      <c r="R28" s="611" t="s">
        <v>42</v>
      </c>
      <c r="S28" s="599">
        <f>VLOOKUP(R28,[7]Campos!$H$11:$Q$37,3,FALSE)</f>
        <v>52</v>
      </c>
      <c r="T28" s="597" t="s">
        <v>99</v>
      </c>
      <c r="U28" s="599">
        <f>VLOOKUP(Selección1,[7]Campos!$K$11:$M$37,2,FALSE)</f>
        <v>4</v>
      </c>
      <c r="V28" s="599">
        <f>+S28+U28</f>
        <v>56</v>
      </c>
      <c r="W28" s="599" t="str">
        <f>+VLOOKUP(V28,[7]Campos!$M$11:$N$37,2,FALSE)</f>
        <v>4 - Zona de riesgo Alta</v>
      </c>
      <c r="X28" s="303" t="s">
        <v>834</v>
      </c>
      <c r="Y28" s="143" t="s">
        <v>118</v>
      </c>
      <c r="Z28" s="143">
        <v>0.25</v>
      </c>
      <c r="AA28" s="143" t="s">
        <v>43</v>
      </c>
      <c r="AB28" s="143">
        <f>VLOOKUP(AA28,[7]Campos!$D$66:$E$67,2,FALSE)</f>
        <v>0.15</v>
      </c>
      <c r="AC28" s="143">
        <f t="shared" si="2"/>
        <v>0.4</v>
      </c>
      <c r="AD28" s="143" t="s">
        <v>820</v>
      </c>
      <c r="AE28" s="304" t="s">
        <v>44</v>
      </c>
      <c r="AF28" s="304" t="s">
        <v>126</v>
      </c>
      <c r="AG28" s="143" t="s">
        <v>129</v>
      </c>
      <c r="AH28" s="613" t="s">
        <v>134</v>
      </c>
      <c r="AI28" s="613">
        <v>0.2</v>
      </c>
      <c r="AJ28" s="613" t="s">
        <v>96</v>
      </c>
      <c r="AK28" s="599">
        <f>+VLOOKUP(AJ28,[7]Campos!$S$32:$T$39,2,FALSE)</f>
        <v>0.6</v>
      </c>
      <c r="AL28" s="604">
        <v>0.4</v>
      </c>
      <c r="AM28" s="599" t="str">
        <f>+VLOOKUP(AL28,[7]Campos!$W$23:$X$122,2,TRUE)</f>
        <v>Baja - 40%</v>
      </c>
      <c r="AN28" s="608">
        <v>0.8</v>
      </c>
      <c r="AO28" s="599" t="str">
        <f>+VLOOKUP(AN28,[7]Campos!$W$22:$Y$122,3,TRUE)</f>
        <v>4 Mayor</v>
      </c>
      <c r="AP28" s="606" t="s">
        <v>100</v>
      </c>
      <c r="AQ28" s="602" t="s">
        <v>98</v>
      </c>
      <c r="AR28" s="143" t="s">
        <v>833</v>
      </c>
      <c r="AS28" s="143" t="s">
        <v>832</v>
      </c>
      <c r="AT28" s="143" t="s">
        <v>817</v>
      </c>
      <c r="AU28" s="306" t="s">
        <v>244</v>
      </c>
      <c r="AV28" s="307">
        <v>45292</v>
      </c>
      <c r="AW28" s="307">
        <v>45657</v>
      </c>
      <c r="AX28" s="143" t="s">
        <v>831</v>
      </c>
      <c r="AY28" s="143" t="s">
        <v>830</v>
      </c>
      <c r="AZ28" s="143" t="s">
        <v>813</v>
      </c>
      <c r="BA28" s="143" t="s">
        <v>643</v>
      </c>
      <c r="BB28" s="308" t="s">
        <v>829</v>
      </c>
    </row>
    <row r="29" spans="1:54" s="51" customFormat="1" ht="126.75" customHeight="1">
      <c r="A29" s="616"/>
      <c r="B29" s="480"/>
      <c r="C29" s="480"/>
      <c r="D29" s="480"/>
      <c r="E29" s="480"/>
      <c r="F29" s="619"/>
      <c r="G29" s="480"/>
      <c r="H29" s="480"/>
      <c r="I29" s="480"/>
      <c r="J29" s="480"/>
      <c r="K29" s="480"/>
      <c r="L29" s="480"/>
      <c r="M29" s="480"/>
      <c r="N29" s="480"/>
      <c r="O29" s="480"/>
      <c r="P29" s="480"/>
      <c r="Q29" s="502" t="s">
        <v>828</v>
      </c>
      <c r="R29" s="515"/>
      <c r="S29" s="510"/>
      <c r="T29" s="513"/>
      <c r="U29" s="510"/>
      <c r="V29" s="510"/>
      <c r="W29" s="510"/>
      <c r="X29" s="309" t="s">
        <v>827</v>
      </c>
      <c r="Y29" s="83" t="s">
        <v>120</v>
      </c>
      <c r="Z29" s="83">
        <v>0.1</v>
      </c>
      <c r="AA29" s="83" t="s">
        <v>43</v>
      </c>
      <c r="AB29" s="83">
        <f>VLOOKUP(AA29,[7]Campos!$D$66:$E$67,2,FALSE)</f>
        <v>0.15</v>
      </c>
      <c r="AC29" s="83">
        <f t="shared" si="2"/>
        <v>0.25</v>
      </c>
      <c r="AD29" s="83" t="s">
        <v>820</v>
      </c>
      <c r="AE29" s="84" t="s">
        <v>44</v>
      </c>
      <c r="AF29" s="84" t="s">
        <v>126</v>
      </c>
      <c r="AG29" s="83" t="s">
        <v>129</v>
      </c>
      <c r="AH29" s="507"/>
      <c r="AI29" s="507"/>
      <c r="AJ29" s="507"/>
      <c r="AK29" s="510"/>
      <c r="AL29" s="533"/>
      <c r="AM29" s="510"/>
      <c r="AN29" s="530"/>
      <c r="AO29" s="510"/>
      <c r="AP29" s="527"/>
      <c r="AQ29" s="486"/>
      <c r="AR29" s="110" t="s">
        <v>826</v>
      </c>
      <c r="AS29" s="110" t="s">
        <v>825</v>
      </c>
      <c r="AT29" s="143" t="s">
        <v>817</v>
      </c>
      <c r="AU29" s="82" t="s">
        <v>244</v>
      </c>
      <c r="AV29" s="142">
        <v>45292</v>
      </c>
      <c r="AW29" s="142">
        <v>45657</v>
      </c>
      <c r="AX29" s="110" t="s">
        <v>824</v>
      </c>
      <c r="AY29" s="83" t="s">
        <v>823</v>
      </c>
      <c r="AZ29" s="83" t="s">
        <v>813</v>
      </c>
      <c r="BA29" s="83" t="s">
        <v>643</v>
      </c>
      <c r="BB29" s="310" t="s">
        <v>822</v>
      </c>
    </row>
    <row r="30" spans="1:54" s="51" customFormat="1" ht="90.75" customHeight="1">
      <c r="A30" s="616"/>
      <c r="B30" s="480"/>
      <c r="C30" s="480"/>
      <c r="D30" s="480"/>
      <c r="E30" s="480"/>
      <c r="F30" s="619"/>
      <c r="G30" s="480"/>
      <c r="H30" s="480"/>
      <c r="I30" s="480"/>
      <c r="J30" s="480"/>
      <c r="K30" s="480"/>
      <c r="L30" s="480"/>
      <c r="M30" s="480"/>
      <c r="N30" s="480"/>
      <c r="O30" s="480"/>
      <c r="P30" s="480"/>
      <c r="Q30" s="515"/>
      <c r="R30" s="515"/>
      <c r="S30" s="510"/>
      <c r="T30" s="513"/>
      <c r="U30" s="510"/>
      <c r="V30" s="510"/>
      <c r="W30" s="510"/>
      <c r="X30" s="497" t="s">
        <v>821</v>
      </c>
      <c r="Y30" s="479" t="s">
        <v>119</v>
      </c>
      <c r="Z30" s="479">
        <v>0.15</v>
      </c>
      <c r="AA30" s="479" t="s">
        <v>43</v>
      </c>
      <c r="AB30" s="479">
        <f>VLOOKUP(AA30,[7]Campos!$D$66:$E$67,2,FALSE)</f>
        <v>0.15</v>
      </c>
      <c r="AC30" s="479">
        <f t="shared" si="2"/>
        <v>0.3</v>
      </c>
      <c r="AD30" s="479" t="s">
        <v>820</v>
      </c>
      <c r="AE30" s="535" t="s">
        <v>44</v>
      </c>
      <c r="AF30" s="535" t="s">
        <v>126</v>
      </c>
      <c r="AG30" s="479" t="s">
        <v>129</v>
      </c>
      <c r="AH30" s="507"/>
      <c r="AI30" s="507"/>
      <c r="AJ30" s="507"/>
      <c r="AK30" s="510"/>
      <c r="AL30" s="533"/>
      <c r="AM30" s="510"/>
      <c r="AN30" s="530"/>
      <c r="AO30" s="510"/>
      <c r="AP30" s="527"/>
      <c r="AQ30" s="486"/>
      <c r="AR30" s="479" t="s">
        <v>819</v>
      </c>
      <c r="AS30" s="479" t="s">
        <v>818</v>
      </c>
      <c r="AT30" s="479" t="s">
        <v>817</v>
      </c>
      <c r="AU30" s="479" t="s">
        <v>816</v>
      </c>
      <c r="AV30" s="519">
        <v>45292</v>
      </c>
      <c r="AW30" s="519">
        <v>45657</v>
      </c>
      <c r="AX30" s="479" t="s">
        <v>815</v>
      </c>
      <c r="AY30" s="479" t="s">
        <v>814</v>
      </c>
      <c r="AZ30" s="479" t="s">
        <v>813</v>
      </c>
      <c r="BA30" s="479" t="s">
        <v>812</v>
      </c>
      <c r="BB30" s="628" t="s">
        <v>811</v>
      </c>
    </row>
    <row r="31" spans="1:54" s="51" customFormat="1" ht="96.75" customHeight="1" thickBot="1">
      <c r="A31" s="617"/>
      <c r="B31" s="594"/>
      <c r="C31" s="594"/>
      <c r="D31" s="594"/>
      <c r="E31" s="594"/>
      <c r="F31" s="620"/>
      <c r="G31" s="594"/>
      <c r="H31" s="594"/>
      <c r="I31" s="594"/>
      <c r="J31" s="594"/>
      <c r="K31" s="594"/>
      <c r="L31" s="594"/>
      <c r="M31" s="594"/>
      <c r="N31" s="594"/>
      <c r="O31" s="594"/>
      <c r="P31" s="594"/>
      <c r="Q31" s="610"/>
      <c r="R31" s="610"/>
      <c r="S31" s="600"/>
      <c r="T31" s="598"/>
      <c r="U31" s="600"/>
      <c r="V31" s="600"/>
      <c r="W31" s="600"/>
      <c r="X31" s="601"/>
      <c r="Y31" s="594"/>
      <c r="Z31" s="594"/>
      <c r="AA31" s="594"/>
      <c r="AB31" s="594"/>
      <c r="AC31" s="594"/>
      <c r="AD31" s="594"/>
      <c r="AE31" s="612"/>
      <c r="AF31" s="612"/>
      <c r="AG31" s="594"/>
      <c r="AH31" s="614"/>
      <c r="AI31" s="614"/>
      <c r="AJ31" s="614"/>
      <c r="AK31" s="600"/>
      <c r="AL31" s="605"/>
      <c r="AM31" s="600"/>
      <c r="AN31" s="609"/>
      <c r="AO31" s="600"/>
      <c r="AP31" s="607"/>
      <c r="AQ31" s="603"/>
      <c r="AR31" s="594"/>
      <c r="AS31" s="594"/>
      <c r="AT31" s="594"/>
      <c r="AU31" s="594"/>
      <c r="AV31" s="595"/>
      <c r="AW31" s="595"/>
      <c r="AX31" s="594"/>
      <c r="AY31" s="594"/>
      <c r="AZ31" s="594"/>
      <c r="BA31" s="594"/>
      <c r="BB31" s="630"/>
    </row>
    <row r="32" spans="1:54" ht="264" thickBot="1">
      <c r="A32" s="334" t="s">
        <v>970</v>
      </c>
      <c r="B32" s="125" t="s">
        <v>51</v>
      </c>
      <c r="C32" s="125" t="s">
        <v>760</v>
      </c>
      <c r="D32" s="125" t="s">
        <v>67</v>
      </c>
      <c r="E32" s="125" t="s">
        <v>67</v>
      </c>
      <c r="F32" s="125" t="s">
        <v>810</v>
      </c>
      <c r="G32" s="125" t="s">
        <v>809</v>
      </c>
      <c r="H32" s="125" t="s">
        <v>159</v>
      </c>
      <c r="I32" s="125" t="s">
        <v>205</v>
      </c>
      <c r="J32" s="132" t="s">
        <v>178</v>
      </c>
      <c r="K32" s="132" t="s">
        <v>178</v>
      </c>
      <c r="L32" s="125" t="s">
        <v>757</v>
      </c>
      <c r="M32" s="125" t="s">
        <v>808</v>
      </c>
      <c r="N32" s="126" t="s">
        <v>807</v>
      </c>
      <c r="O32" s="126" t="s">
        <v>754</v>
      </c>
      <c r="P32" s="126" t="s">
        <v>74</v>
      </c>
      <c r="Q32" s="311" t="s">
        <v>806</v>
      </c>
      <c r="R32" s="126" t="s">
        <v>108</v>
      </c>
      <c r="S32" s="128">
        <f>VLOOKUP(R32,[8]Campos!$H$11:$Q$37,3,FALSE)</f>
        <v>63</v>
      </c>
      <c r="T32" s="129" t="s">
        <v>96</v>
      </c>
      <c r="U32" s="128">
        <f>VLOOKUP(Selección1,[8]Campos!$K$11:$M$37,2,FALSE)</f>
        <v>4</v>
      </c>
      <c r="V32" s="128">
        <f>+S32+U32</f>
        <v>67</v>
      </c>
      <c r="W32" s="278" t="str">
        <f>+VLOOKUP(V32,[8]Campos!$M$11:$N$37,2,FALSE)</f>
        <v>4 - Zona de riesgo Alta</v>
      </c>
      <c r="X32" s="312" t="s">
        <v>805</v>
      </c>
      <c r="Y32" s="125" t="s">
        <v>118</v>
      </c>
      <c r="Z32" s="125">
        <v>0.25</v>
      </c>
      <c r="AA32" s="125" t="s">
        <v>43</v>
      </c>
      <c r="AB32" s="125">
        <f>VLOOKUP(AA32,[8]Campos!$D$66:$E$67,2,FALSE)</f>
        <v>0.15</v>
      </c>
      <c r="AC32" s="125">
        <f>+Z32+AB32</f>
        <v>0.4</v>
      </c>
      <c r="AD32" s="125">
        <v>0.6</v>
      </c>
      <c r="AE32" s="138" t="s">
        <v>44</v>
      </c>
      <c r="AF32" s="138" t="s">
        <v>126</v>
      </c>
      <c r="AG32" s="125" t="s">
        <v>129</v>
      </c>
      <c r="AH32" s="139" t="s">
        <v>46</v>
      </c>
      <c r="AI32" s="139">
        <v>60</v>
      </c>
      <c r="AJ32" s="139" t="s">
        <v>96</v>
      </c>
      <c r="AK32" s="128">
        <f>+VLOOKUP(AJ32,[8]Campos!$S$32:$T$39,2,FALSE)</f>
        <v>0.6</v>
      </c>
      <c r="AL32" s="140">
        <v>0.6</v>
      </c>
      <c r="AM32" s="128" t="str">
        <f>+VLOOKUP(AL32,[8]Campos!$W$23:$X$122,2,TRUE)</f>
        <v>Media - 60%</v>
      </c>
      <c r="AN32" s="141">
        <f>+IF(Y32="Correctivo",AK32*AD32,AK32*1)</f>
        <v>0.6</v>
      </c>
      <c r="AO32" s="128" t="str">
        <f>+VLOOKUP(AN32,[8]Campos!$W$22:$Y$122,3,TRUE)</f>
        <v>3 Moderado</v>
      </c>
      <c r="AP32" s="279" t="s">
        <v>97</v>
      </c>
      <c r="AQ32" s="305" t="s">
        <v>98</v>
      </c>
      <c r="AR32" s="125" t="s">
        <v>804</v>
      </c>
      <c r="AS32" s="125" t="s">
        <v>803</v>
      </c>
      <c r="AT32" s="125" t="s">
        <v>800</v>
      </c>
      <c r="AU32" s="125" t="s">
        <v>157</v>
      </c>
      <c r="AV32" s="133" t="s">
        <v>223</v>
      </c>
      <c r="AW32" s="133" t="s">
        <v>749</v>
      </c>
      <c r="AX32" s="125" t="s">
        <v>802</v>
      </c>
      <c r="AY32" s="125" t="s">
        <v>801</v>
      </c>
      <c r="AZ32" s="125" t="s">
        <v>800</v>
      </c>
      <c r="BA32" s="125" t="s">
        <v>772</v>
      </c>
      <c r="BB32" s="281" t="s">
        <v>799</v>
      </c>
    </row>
    <row r="33" spans="1:54" s="259" customFormat="1" ht="409" customHeight="1" thickBot="1">
      <c r="A33" s="335" t="s">
        <v>971</v>
      </c>
      <c r="B33" s="313" t="s">
        <v>51</v>
      </c>
      <c r="C33" s="313" t="s">
        <v>760</v>
      </c>
      <c r="D33" s="313" t="s">
        <v>67</v>
      </c>
      <c r="E33" s="313" t="s">
        <v>67</v>
      </c>
      <c r="F33" s="313" t="s">
        <v>798</v>
      </c>
      <c r="G33" s="313" t="s">
        <v>797</v>
      </c>
      <c r="H33" s="313" t="s">
        <v>159</v>
      </c>
      <c r="I33" s="313" t="s">
        <v>205</v>
      </c>
      <c r="J33" s="314" t="s">
        <v>178</v>
      </c>
      <c r="K33" s="314" t="s">
        <v>178</v>
      </c>
      <c r="L33" s="313" t="s">
        <v>757</v>
      </c>
      <c r="M33" s="313" t="s">
        <v>796</v>
      </c>
      <c r="N33" s="315" t="s">
        <v>795</v>
      </c>
      <c r="O33" s="315" t="s">
        <v>754</v>
      </c>
      <c r="P33" s="315" t="s">
        <v>74</v>
      </c>
      <c r="Q33" s="316" t="s">
        <v>794</v>
      </c>
      <c r="R33" s="315" t="s">
        <v>108</v>
      </c>
      <c r="S33" s="317">
        <f>VLOOKUP(R33,[8]Campos!$H$11:$Q$37,3,FALSE)</f>
        <v>63</v>
      </c>
      <c r="T33" s="318" t="s">
        <v>96</v>
      </c>
      <c r="U33" s="317">
        <f>VLOOKUP(Selección1,[8]Campos!$K$11:$M$37,2,FALSE)</f>
        <v>4</v>
      </c>
      <c r="V33" s="317">
        <f>+S33+U33</f>
        <v>67</v>
      </c>
      <c r="W33" s="319" t="str">
        <f>+VLOOKUP(V33,[8]Campos!$M$11:$N$37,2,FALSE)</f>
        <v>4 - Zona de riesgo Alta</v>
      </c>
      <c r="X33" s="320" t="s">
        <v>793</v>
      </c>
      <c r="Y33" s="313" t="s">
        <v>118</v>
      </c>
      <c r="Z33" s="313"/>
      <c r="AA33" s="313" t="s">
        <v>43</v>
      </c>
      <c r="AB33" s="313">
        <f>VLOOKUP(AA33,[8]Campos!$D$66:$E$67,2,FALSE)</f>
        <v>0.15</v>
      </c>
      <c r="AC33" s="313">
        <f>+Z33+AB33</f>
        <v>0.15</v>
      </c>
      <c r="AD33" s="313">
        <v>0.6</v>
      </c>
      <c r="AE33" s="321" t="s">
        <v>44</v>
      </c>
      <c r="AF33" s="321" t="s">
        <v>126</v>
      </c>
      <c r="AG33" s="313" t="s">
        <v>129</v>
      </c>
      <c r="AH33" s="322" t="s">
        <v>46</v>
      </c>
      <c r="AI33" s="322"/>
      <c r="AJ33" s="322" t="s">
        <v>96</v>
      </c>
      <c r="AK33" s="317">
        <f>+VLOOKUP(AJ33,[8]Campos!$S$32:$T$39,2,FALSE)</f>
        <v>0.6</v>
      </c>
      <c r="AL33" s="323">
        <v>0.6</v>
      </c>
      <c r="AM33" s="317" t="str">
        <f>+VLOOKUP(AL33,[8]Campos!$W$23:$X$122,2,TRUE)</f>
        <v>Media - 60%</v>
      </c>
      <c r="AN33" s="324">
        <f>+[8]Campos!L132</f>
        <v>0</v>
      </c>
      <c r="AO33" s="317" t="e">
        <f>+VLOOKUP(AN33,[8]Campos!$W$22:$Y$122,3,TRUE)</f>
        <v>#N/A</v>
      </c>
      <c r="AP33" s="325" t="s">
        <v>97</v>
      </c>
      <c r="AQ33" s="326" t="s">
        <v>98</v>
      </c>
      <c r="AR33" s="313" t="s">
        <v>792</v>
      </c>
      <c r="AS33" s="313" t="s">
        <v>750</v>
      </c>
      <c r="AT33" s="313" t="s">
        <v>791</v>
      </c>
      <c r="AU33" s="313" t="s">
        <v>157</v>
      </c>
      <c r="AV33" s="327" t="s">
        <v>223</v>
      </c>
      <c r="AW33" s="327" t="s">
        <v>790</v>
      </c>
      <c r="AX33" s="313" t="s">
        <v>789</v>
      </c>
      <c r="AY33" s="313" t="s">
        <v>788</v>
      </c>
      <c r="AZ33" s="313" t="s">
        <v>787</v>
      </c>
      <c r="BA33" s="313" t="s">
        <v>786</v>
      </c>
      <c r="BB33" s="315" t="s">
        <v>785</v>
      </c>
    </row>
    <row r="34" spans="1:54" s="259" customFormat="1" ht="295" thickBot="1">
      <c r="A34" s="335" t="s">
        <v>972</v>
      </c>
      <c r="B34" s="313" t="s">
        <v>51</v>
      </c>
      <c r="C34" s="313" t="s">
        <v>760</v>
      </c>
      <c r="D34" s="313" t="s">
        <v>67</v>
      </c>
      <c r="E34" s="313" t="s">
        <v>67</v>
      </c>
      <c r="F34" s="313" t="s">
        <v>784</v>
      </c>
      <c r="G34" s="313" t="s">
        <v>783</v>
      </c>
      <c r="H34" s="313" t="s">
        <v>159</v>
      </c>
      <c r="I34" s="313" t="s">
        <v>205</v>
      </c>
      <c r="J34" s="314" t="s">
        <v>178</v>
      </c>
      <c r="K34" s="314" t="s">
        <v>178</v>
      </c>
      <c r="L34" s="313" t="s">
        <v>757</v>
      </c>
      <c r="M34" s="313" t="s">
        <v>782</v>
      </c>
      <c r="N34" s="315" t="s">
        <v>781</v>
      </c>
      <c r="O34" s="315" t="s">
        <v>754</v>
      </c>
      <c r="P34" s="315" t="s">
        <v>74</v>
      </c>
      <c r="Q34" s="316" t="s">
        <v>780</v>
      </c>
      <c r="R34" s="315" t="s">
        <v>108</v>
      </c>
      <c r="S34" s="317">
        <f>VLOOKUP(R34,[8]Campos!$H$11:$Q$37,3,FALSE)</f>
        <v>63</v>
      </c>
      <c r="T34" s="318" t="s">
        <v>96</v>
      </c>
      <c r="U34" s="317">
        <f>VLOOKUP(Selección1,[8]Campos!$K$11:$M$37,2,FALSE)</f>
        <v>4</v>
      </c>
      <c r="V34" s="317">
        <f>+S34+U34</f>
        <v>67</v>
      </c>
      <c r="W34" s="319" t="str">
        <f>+VLOOKUP(V34,[8]Campos!$M$11:$N$37,2,FALSE)</f>
        <v>4 - Zona de riesgo Alta</v>
      </c>
      <c r="X34" s="320" t="s">
        <v>779</v>
      </c>
      <c r="Y34" s="313" t="s">
        <v>118</v>
      </c>
      <c r="Z34" s="313"/>
      <c r="AA34" s="313" t="s">
        <v>43</v>
      </c>
      <c r="AB34" s="313">
        <f>VLOOKUP(AA34,[8]Campos!$D$66:$E$67,2,FALSE)</f>
        <v>0.15</v>
      </c>
      <c r="AC34" s="313">
        <f>+Z34+AB34</f>
        <v>0.15</v>
      </c>
      <c r="AD34" s="313">
        <v>0.6</v>
      </c>
      <c r="AE34" s="321" t="s">
        <v>44</v>
      </c>
      <c r="AF34" s="321" t="s">
        <v>126</v>
      </c>
      <c r="AG34" s="313" t="s">
        <v>129</v>
      </c>
      <c r="AH34" s="322" t="s">
        <v>46</v>
      </c>
      <c r="AI34" s="322"/>
      <c r="AJ34" s="322" t="s">
        <v>96</v>
      </c>
      <c r="AK34" s="317">
        <f>+VLOOKUP(AJ34,[8]Campos!$S$32:$T$39,2,FALSE)</f>
        <v>0.6</v>
      </c>
      <c r="AL34" s="323">
        <v>0.6</v>
      </c>
      <c r="AM34" s="317" t="str">
        <f>+VLOOKUP(AL34,[8]Campos!$W$23:$X$122,2,TRUE)</f>
        <v>Media - 60%</v>
      </c>
      <c r="AN34" s="324">
        <f>+[8]Campos!L133</f>
        <v>0</v>
      </c>
      <c r="AO34" s="317" t="e">
        <f>+VLOOKUP(AN34,[8]Campos!$W$22:$Y$122,3,TRUE)</f>
        <v>#N/A</v>
      </c>
      <c r="AP34" s="325" t="s">
        <v>97</v>
      </c>
      <c r="AQ34" s="326" t="s">
        <v>98</v>
      </c>
      <c r="AR34" s="313" t="s">
        <v>778</v>
      </c>
      <c r="AS34" s="313" t="s">
        <v>777</v>
      </c>
      <c r="AT34" s="313" t="s">
        <v>776</v>
      </c>
      <c r="AU34" s="313" t="s">
        <v>157</v>
      </c>
      <c r="AV34" s="327" t="s">
        <v>223</v>
      </c>
      <c r="AW34" s="327" t="s">
        <v>749</v>
      </c>
      <c r="AX34" s="321" t="s">
        <v>775</v>
      </c>
      <c r="AY34" s="321" t="s">
        <v>774</v>
      </c>
      <c r="AZ34" s="313" t="s">
        <v>773</v>
      </c>
      <c r="BA34" s="314" t="s">
        <v>772</v>
      </c>
      <c r="BB34" s="321" t="s">
        <v>771</v>
      </c>
    </row>
    <row r="35" spans="1:54" s="259" customFormat="1" ht="248.5" thickBot="1">
      <c r="A35" s="335" t="s">
        <v>973</v>
      </c>
      <c r="B35" s="313" t="s">
        <v>51</v>
      </c>
      <c r="C35" s="313" t="s">
        <v>760</v>
      </c>
      <c r="D35" s="313" t="s">
        <v>67</v>
      </c>
      <c r="E35" s="313" t="s">
        <v>67</v>
      </c>
      <c r="F35" s="313" t="s">
        <v>770</v>
      </c>
      <c r="G35" s="313" t="s">
        <v>769</v>
      </c>
      <c r="H35" s="313" t="s">
        <v>181</v>
      </c>
      <c r="I35" s="313" t="s">
        <v>205</v>
      </c>
      <c r="J35" s="314" t="s">
        <v>178</v>
      </c>
      <c r="K35" s="314" t="s">
        <v>178</v>
      </c>
      <c r="L35" s="313" t="s">
        <v>757</v>
      </c>
      <c r="M35" s="313" t="s">
        <v>768</v>
      </c>
      <c r="N35" s="315" t="s">
        <v>767</v>
      </c>
      <c r="O35" s="315" t="s">
        <v>754</v>
      </c>
      <c r="P35" s="315" t="s">
        <v>75</v>
      </c>
      <c r="Q35" s="316" t="s">
        <v>766</v>
      </c>
      <c r="R35" s="315" t="s">
        <v>108</v>
      </c>
      <c r="S35" s="317">
        <f>VLOOKUP(R35,[8]Campos!$H$11:$Q$37,3,FALSE)</f>
        <v>63</v>
      </c>
      <c r="T35" s="318" t="s">
        <v>96</v>
      </c>
      <c r="U35" s="317">
        <f>VLOOKUP(Selección1,[8]Campos!$K$11:$M$37,2,FALSE)</f>
        <v>4</v>
      </c>
      <c r="V35" s="317">
        <f>+S35+U35</f>
        <v>67</v>
      </c>
      <c r="W35" s="319" t="str">
        <f>+VLOOKUP(V35,[8]Campos!$M$11:$N$37,2,FALSE)</f>
        <v>4 - Zona de riesgo Alta</v>
      </c>
      <c r="X35" s="320" t="s">
        <v>765</v>
      </c>
      <c r="Y35" s="313" t="s">
        <v>118</v>
      </c>
      <c r="Z35" s="313"/>
      <c r="AA35" s="313" t="s">
        <v>43</v>
      </c>
      <c r="AB35" s="313">
        <f>VLOOKUP(AA35,[8]Campos!$D$66:$E$67,2,FALSE)</f>
        <v>0.15</v>
      </c>
      <c r="AC35" s="313">
        <f>+Z35+AB35</f>
        <v>0.15</v>
      </c>
      <c r="AD35" s="313">
        <v>0.6</v>
      </c>
      <c r="AE35" s="321" t="s">
        <v>44</v>
      </c>
      <c r="AF35" s="321" t="s">
        <v>126</v>
      </c>
      <c r="AG35" s="313" t="s">
        <v>129</v>
      </c>
      <c r="AH35" s="322" t="s">
        <v>46</v>
      </c>
      <c r="AI35" s="322"/>
      <c r="AJ35" s="322" t="s">
        <v>96</v>
      </c>
      <c r="AK35" s="317">
        <f>+VLOOKUP(AJ35,[8]Campos!$S$32:$T$39,2,FALSE)</f>
        <v>0.6</v>
      </c>
      <c r="AL35" s="323">
        <v>0.6</v>
      </c>
      <c r="AM35" s="317" t="str">
        <f>+VLOOKUP(AL35,[8]Campos!$W$23:$X$122,2,TRUE)</f>
        <v>Media - 60%</v>
      </c>
      <c r="AN35" s="324">
        <f>+IF(Y35="Correctivo",AK35*AD35,AK35*1)</f>
        <v>0.6</v>
      </c>
      <c r="AO35" s="317" t="str">
        <f>+VLOOKUP(AN35,[8]Campos!$W$22:$Y$122,3,TRUE)</f>
        <v>3 Moderado</v>
      </c>
      <c r="AP35" s="325" t="s">
        <v>97</v>
      </c>
      <c r="AQ35" s="326" t="s">
        <v>98</v>
      </c>
      <c r="AR35" s="313" t="s">
        <v>764</v>
      </c>
      <c r="AS35" s="313" t="s">
        <v>750</v>
      </c>
      <c r="AT35" s="313" t="s">
        <v>746</v>
      </c>
      <c r="AU35" s="313" t="s">
        <v>157</v>
      </c>
      <c r="AV35" s="327" t="s">
        <v>223</v>
      </c>
      <c r="AW35" s="327" t="s">
        <v>749</v>
      </c>
      <c r="AX35" s="313" t="s">
        <v>763</v>
      </c>
      <c r="AY35" s="313" t="s">
        <v>762</v>
      </c>
      <c r="AZ35" s="313" t="s">
        <v>746</v>
      </c>
      <c r="BA35" s="314" t="s">
        <v>745</v>
      </c>
      <c r="BB35" s="313" t="s">
        <v>761</v>
      </c>
    </row>
    <row r="36" spans="1:54" s="258" customFormat="1" ht="248.5" thickBot="1">
      <c r="A36" s="335" t="s">
        <v>974</v>
      </c>
      <c r="B36" s="313" t="s">
        <v>51</v>
      </c>
      <c r="C36" s="313" t="s">
        <v>760</v>
      </c>
      <c r="D36" s="313" t="s">
        <v>67</v>
      </c>
      <c r="E36" s="313" t="s">
        <v>67</v>
      </c>
      <c r="F36" s="313" t="s">
        <v>759</v>
      </c>
      <c r="G36" s="313" t="s">
        <v>758</v>
      </c>
      <c r="H36" s="313" t="s">
        <v>181</v>
      </c>
      <c r="I36" s="313" t="s">
        <v>205</v>
      </c>
      <c r="J36" s="314" t="s">
        <v>178</v>
      </c>
      <c r="K36" s="314" t="s">
        <v>178</v>
      </c>
      <c r="L36" s="313" t="s">
        <v>757</v>
      </c>
      <c r="M36" s="313" t="s">
        <v>756</v>
      </c>
      <c r="N36" s="315" t="s">
        <v>755</v>
      </c>
      <c r="O36" s="315" t="s">
        <v>754</v>
      </c>
      <c r="P36" s="315" t="s">
        <v>75</v>
      </c>
      <c r="Q36" s="316" t="s">
        <v>753</v>
      </c>
      <c r="R36" s="315" t="s">
        <v>108</v>
      </c>
      <c r="S36" s="317">
        <f>VLOOKUP(R36,[8]Campos!$H$11:$Q$37,3,FALSE)</f>
        <v>63</v>
      </c>
      <c r="T36" s="318" t="s">
        <v>96</v>
      </c>
      <c r="U36" s="317">
        <f>VLOOKUP(Selección1,[8]Campos!$K$11:$M$37,2,FALSE)</f>
        <v>4</v>
      </c>
      <c r="V36" s="317">
        <f>+S36+U36</f>
        <v>67</v>
      </c>
      <c r="W36" s="319" t="str">
        <f>+VLOOKUP(V36,[8]Campos!$M$11:$N$37,2,FALSE)</f>
        <v>4 - Zona de riesgo Alta</v>
      </c>
      <c r="X36" s="320" t="s">
        <v>752</v>
      </c>
      <c r="Y36" s="313" t="s">
        <v>118</v>
      </c>
      <c r="Z36" s="313"/>
      <c r="AA36" s="313" t="s">
        <v>43</v>
      </c>
      <c r="AB36" s="313">
        <f>VLOOKUP(AA36,[8]Campos!$D$66:$E$67,2,FALSE)</f>
        <v>0.15</v>
      </c>
      <c r="AC36" s="313">
        <f>+Z36+AB36</f>
        <v>0.15</v>
      </c>
      <c r="AD36" s="313">
        <v>0.6</v>
      </c>
      <c r="AE36" s="321" t="s">
        <v>44</v>
      </c>
      <c r="AF36" s="321" t="s">
        <v>126</v>
      </c>
      <c r="AG36" s="313" t="s">
        <v>129</v>
      </c>
      <c r="AH36" s="322" t="s">
        <v>46</v>
      </c>
      <c r="AI36" s="322"/>
      <c r="AJ36" s="322" t="s">
        <v>96</v>
      </c>
      <c r="AK36" s="317">
        <f>+VLOOKUP(AJ36,[8]Campos!$S$32:$T$39,2,FALSE)</f>
        <v>0.6</v>
      </c>
      <c r="AL36" s="323">
        <v>0.6</v>
      </c>
      <c r="AM36" s="317" t="str">
        <f>+VLOOKUP(AL36,[8]Campos!$W$23:$X$122,2,TRUE)</f>
        <v>Media - 60%</v>
      </c>
      <c r="AN36" s="324">
        <f>+IF(Y36="Correctivo",AK36*AD36,AK36*1)</f>
        <v>0.6</v>
      </c>
      <c r="AO36" s="317" t="str">
        <f>+VLOOKUP(AN36,[8]Campos!$W$22:$Y$122,3,TRUE)</f>
        <v>3 Moderado</v>
      </c>
      <c r="AP36" s="325" t="s">
        <v>97</v>
      </c>
      <c r="AQ36" s="326" t="s">
        <v>98</v>
      </c>
      <c r="AR36" s="313" t="s">
        <v>751</v>
      </c>
      <c r="AS36" s="313" t="s">
        <v>750</v>
      </c>
      <c r="AT36" s="313" t="s">
        <v>746</v>
      </c>
      <c r="AU36" s="313" t="s">
        <v>157</v>
      </c>
      <c r="AV36" s="327" t="s">
        <v>223</v>
      </c>
      <c r="AW36" s="327" t="s">
        <v>749</v>
      </c>
      <c r="AX36" s="313" t="s">
        <v>748</v>
      </c>
      <c r="AY36" s="313" t="s">
        <v>747</v>
      </c>
      <c r="AZ36" s="313" t="s">
        <v>746</v>
      </c>
      <c r="BA36" s="314" t="s">
        <v>745</v>
      </c>
      <c r="BB36" s="313" t="s">
        <v>744</v>
      </c>
    </row>
  </sheetData>
  <sheetProtection formatCells="0" insertRows="0" deleteRows="0"/>
  <mergeCells count="226">
    <mergeCell ref="BB12:BB20"/>
    <mergeCell ref="AQ12:AQ20"/>
    <mergeCell ref="AP12:AP20"/>
    <mergeCell ref="AL12:AL20"/>
    <mergeCell ref="AM12:AM20"/>
    <mergeCell ref="AN12:AN20"/>
    <mergeCell ref="V21:V27"/>
    <mergeCell ref="W21:W27"/>
    <mergeCell ref="X21:X22"/>
    <mergeCell ref="AR21:AR22"/>
    <mergeCell ref="AI12:AI20"/>
    <mergeCell ref="AK12:AK20"/>
    <mergeCell ref="AH21:AH27"/>
    <mergeCell ref="AI21:AI27"/>
    <mergeCell ref="AJ21:AJ27"/>
    <mergeCell ref="AK21:AK27"/>
    <mergeCell ref="BB21:BB22"/>
    <mergeCell ref="AX23:AX27"/>
    <mergeCell ref="AP21:AP27"/>
    <mergeCell ref="AR24:AR25"/>
    <mergeCell ref="AR26:AR27"/>
    <mergeCell ref="AQ21:AQ27"/>
    <mergeCell ref="AU21:AU22"/>
    <mergeCell ref="AV21:AV22"/>
    <mergeCell ref="AY17:AY20"/>
    <mergeCell ref="AZ17:AZ20"/>
    <mergeCell ref="BA17:BA20"/>
    <mergeCell ref="AY15:AY16"/>
    <mergeCell ref="AZ15:AZ16"/>
    <mergeCell ref="BA15:BA16"/>
    <mergeCell ref="AT15:AT16"/>
    <mergeCell ref="AL21:AL27"/>
    <mergeCell ref="AM21:AM27"/>
    <mergeCell ref="AN21:AN27"/>
    <mergeCell ref="AO21:AO27"/>
    <mergeCell ref="AW21:AW22"/>
    <mergeCell ref="AT26:AT27"/>
    <mergeCell ref="AT17:AT19"/>
    <mergeCell ref="AW15:AW16"/>
    <mergeCell ref="AX15:AX16"/>
    <mergeCell ref="A12:A20"/>
    <mergeCell ref="B12:B20"/>
    <mergeCell ref="C12:C20"/>
    <mergeCell ref="D12:D20"/>
    <mergeCell ref="E12:E20"/>
    <mergeCell ref="F12:F20"/>
    <mergeCell ref="G12:G20"/>
    <mergeCell ref="H12:H20"/>
    <mergeCell ref="AO12:AO20"/>
    <mergeCell ref="J12:J20"/>
    <mergeCell ref="T12:T20"/>
    <mergeCell ref="U12:U20"/>
    <mergeCell ref="V12:V20"/>
    <mergeCell ref="O12:O13"/>
    <mergeCell ref="Q12:Q13"/>
    <mergeCell ref="Q17:Q18"/>
    <mergeCell ref="K12:K20"/>
    <mergeCell ref="L12:L20"/>
    <mergeCell ref="M12:M20"/>
    <mergeCell ref="N12:N20"/>
    <mergeCell ref="P12:P20"/>
    <mergeCell ref="O14:O20"/>
    <mergeCell ref="X4:AB4"/>
    <mergeCell ref="A5:AP5"/>
    <mergeCell ref="AH6:AP8"/>
    <mergeCell ref="C1:L1"/>
    <mergeCell ref="C2:L3"/>
    <mergeCell ref="X6:AG8"/>
    <mergeCell ref="R6:W8"/>
    <mergeCell ref="A6:Q8"/>
    <mergeCell ref="A9:A10"/>
    <mergeCell ref="B9:B10"/>
    <mergeCell ref="C9:C10"/>
    <mergeCell ref="D9:D10"/>
    <mergeCell ref="E9:E10"/>
    <mergeCell ref="G9:G10"/>
    <mergeCell ref="H9:H10"/>
    <mergeCell ref="F9:F10"/>
    <mergeCell ref="AO9:AO10"/>
    <mergeCell ref="AP9:AP10"/>
    <mergeCell ref="O9:O10"/>
    <mergeCell ref="S9:S10"/>
    <mergeCell ref="AI9:AI10"/>
    <mergeCell ref="AK9:AK10"/>
    <mergeCell ref="AL9:AL10"/>
    <mergeCell ref="AN9:AN10"/>
    <mergeCell ref="AX10:AX11"/>
    <mergeCell ref="AV10:AV11"/>
    <mergeCell ref="AW10:AW11"/>
    <mergeCell ref="AX9:BA9"/>
    <mergeCell ref="AQ10:AQ11"/>
    <mergeCell ref="AR10:AR11"/>
    <mergeCell ref="BB9:BB11"/>
    <mergeCell ref="AQ9:AW9"/>
    <mergeCell ref="I9:I10"/>
    <mergeCell ref="J9:J10"/>
    <mergeCell ref="K9:K10"/>
    <mergeCell ref="L9:L10"/>
    <mergeCell ref="AS10:AS11"/>
    <mergeCell ref="AT10:AT11"/>
    <mergeCell ref="AH9:AH10"/>
    <mergeCell ref="AJ9:AJ10"/>
    <mergeCell ref="P9:P10"/>
    <mergeCell ref="Y9:AG9"/>
    <mergeCell ref="M9:N9"/>
    <mergeCell ref="R9:R10"/>
    <mergeCell ref="T9:T10"/>
    <mergeCell ref="V9:V10"/>
    <mergeCell ref="W9:W10"/>
    <mergeCell ref="X9:X10"/>
    <mergeCell ref="AM9:AM10"/>
    <mergeCell ref="Q9:Q10"/>
    <mergeCell ref="U9:U11"/>
    <mergeCell ref="D21:D27"/>
    <mergeCell ref="C21:C27"/>
    <mergeCell ref="AX17:AX20"/>
    <mergeCell ref="AU17:AU19"/>
    <mergeCell ref="AV17:AV19"/>
    <mergeCell ref="AW17:AW19"/>
    <mergeCell ref="AR17:AR19"/>
    <mergeCell ref="AS17:AS19"/>
    <mergeCell ref="I12:I20"/>
    <mergeCell ref="AU15:AU16"/>
    <mergeCell ref="AV15:AV16"/>
    <mergeCell ref="AR15:AR16"/>
    <mergeCell ref="AS15:AS16"/>
    <mergeCell ref="AJ12:AJ20"/>
    <mergeCell ref="R12:R20"/>
    <mergeCell ref="S12:S20"/>
    <mergeCell ref="S21:S27"/>
    <mergeCell ref="U21:U27"/>
    <mergeCell ref="T21:T27"/>
    <mergeCell ref="W12:W20"/>
    <mergeCell ref="AH12:AH20"/>
    <mergeCell ref="B21:B27"/>
    <mergeCell ref="K21:K27"/>
    <mergeCell ref="J21:J27"/>
    <mergeCell ref="N23:N27"/>
    <mergeCell ref="M21:M27"/>
    <mergeCell ref="BA21:BA22"/>
    <mergeCell ref="AY30:AY31"/>
    <mergeCell ref="BB23:BB27"/>
    <mergeCell ref="BA23:BA27"/>
    <mergeCell ref="AZ23:AZ27"/>
    <mergeCell ref="AY23:AY27"/>
    <mergeCell ref="BB30:BB31"/>
    <mergeCell ref="AS24:AS25"/>
    <mergeCell ref="AS26:AS27"/>
    <mergeCell ref="AT24:AT25"/>
    <mergeCell ref="AU24:AU25"/>
    <mergeCell ref="AV24:AV25"/>
    <mergeCell ref="AW24:AW25"/>
    <mergeCell ref="AU26:AU27"/>
    <mergeCell ref="AV26:AV27"/>
    <mergeCell ref="AW26:AW27"/>
    <mergeCell ref="AS21:AS22"/>
    <mergeCell ref="AT21:AT22"/>
    <mergeCell ref="AZ30:AZ31"/>
    <mergeCell ref="BA30:BA31"/>
    <mergeCell ref="A28:A31"/>
    <mergeCell ref="B28:B31"/>
    <mergeCell ref="C28:C31"/>
    <mergeCell ref="D28:D31"/>
    <mergeCell ref="E28:E31"/>
    <mergeCell ref="F28:F31"/>
    <mergeCell ref="AX21:AX22"/>
    <mergeCell ref="AY21:AY22"/>
    <mergeCell ref="AZ21:AZ22"/>
    <mergeCell ref="O23:O27"/>
    <mergeCell ref="P21:P27"/>
    <mergeCell ref="N21:N22"/>
    <mergeCell ref="O21:O22"/>
    <mergeCell ref="A21:A27"/>
    <mergeCell ref="R21:R27"/>
    <mergeCell ref="I21:I27"/>
    <mergeCell ref="H21:H27"/>
    <mergeCell ref="G21:G27"/>
    <mergeCell ref="F21:F27"/>
    <mergeCell ref="E21:E27"/>
    <mergeCell ref="Q21:Q23"/>
    <mergeCell ref="Q24:Q26"/>
    <mergeCell ref="L21:L27"/>
    <mergeCell ref="AX30:AX31"/>
    <mergeCell ref="Q29:Q31"/>
    <mergeCell ref="R28:R31"/>
    <mergeCell ref="S28:S31"/>
    <mergeCell ref="AR30:AR31"/>
    <mergeCell ref="AS30:AS31"/>
    <mergeCell ref="G28:G31"/>
    <mergeCell ref="H28:H31"/>
    <mergeCell ref="I28:I31"/>
    <mergeCell ref="J28:J31"/>
    <mergeCell ref="K28:K31"/>
    <mergeCell ref="L28:L31"/>
    <mergeCell ref="AA30:AA31"/>
    <mergeCell ref="AB30:AB31"/>
    <mergeCell ref="AC30:AC31"/>
    <mergeCell ref="AD30:AD31"/>
    <mergeCell ref="AE30:AE31"/>
    <mergeCell ref="AF30:AF31"/>
    <mergeCell ref="AG30:AG31"/>
    <mergeCell ref="Z30:Z31"/>
    <mergeCell ref="AH28:AH31"/>
    <mergeCell ref="AI28:AI31"/>
    <mergeCell ref="AJ28:AJ31"/>
    <mergeCell ref="AK28:AK31"/>
    <mergeCell ref="AU30:AU31"/>
    <mergeCell ref="AV30:AV31"/>
    <mergeCell ref="AW30:AW31"/>
    <mergeCell ref="Y30:Y31"/>
    <mergeCell ref="AT30:AT31"/>
    <mergeCell ref="M28:M31"/>
    <mergeCell ref="N28:N31"/>
    <mergeCell ref="O28:O31"/>
    <mergeCell ref="P28:P31"/>
    <mergeCell ref="T28:T31"/>
    <mergeCell ref="U28:U31"/>
    <mergeCell ref="V28:V31"/>
    <mergeCell ref="W28:W31"/>
    <mergeCell ref="X30:X31"/>
    <mergeCell ref="AQ28:AQ31"/>
    <mergeCell ref="AL28:AL31"/>
    <mergeCell ref="AM28:AM31"/>
    <mergeCell ref="AO28:AO31"/>
    <mergeCell ref="AP28:AP31"/>
    <mergeCell ref="AN28:AN31"/>
  </mergeCells>
  <phoneticPr fontId="34" type="noConversion"/>
  <dataValidations count="2">
    <dataValidation allowBlank="1" showErrorMessage="1" promptTitle="Lista desplegable" prompt="Seleccione una Opción" sqref="B9:B10" xr:uid="{00000000-0002-0000-0000-000001000000}"/>
    <dataValidation allowBlank="1" showInputMessage="1" showErrorMessage="1" sqref="V12:V21 V28 V32:V36" xr:uid="{00000000-0002-0000-0000-000000000000}"/>
  </dataValidations>
  <pageMargins left="0.70866141732283472" right="0.70866141732283472" top="0.98425196850393704" bottom="0.74803149606299213" header="0.19685039370078741" footer="0.31496062992125984"/>
  <pageSetup scale="10" orientation="landscape" r:id="rId1"/>
  <headerFooter>
    <oddHeader>&amp;L&amp;G&amp;C
MATRIZ DE IDENTIFICACIÓN Y SEGUIMIENTO A LOS 
RIESGOS INSTITUCIONALES&amp;R]</oddHeader>
    <oddFooter>&amp;R&amp;G
&amp;9SG-FM-043.V6</oddFooter>
  </headerFooter>
  <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2E304-8CBA-4870-9D2A-6655717720DB}">
  <sheetPr>
    <tabColor theme="8" tint="-0.499984740745262"/>
  </sheetPr>
  <dimension ref="A1:CQ19"/>
  <sheetViews>
    <sheetView showGridLines="0" showRuler="0" showWhiteSpace="0" view="pageBreakPreview" zoomScale="40" zoomScaleNormal="25" zoomScaleSheetLayoutView="40" workbookViewId="0">
      <pane ySplit="11" topLeftCell="A14" activePane="bottomLeft" state="frozen"/>
      <selection pane="bottomLeft" activeCell="A12" sqref="A12"/>
    </sheetView>
  </sheetViews>
  <sheetFormatPr baseColWidth="10" defaultColWidth="11.33203125" defaultRowHeight="14"/>
  <cols>
    <col min="1" max="1" width="16.4140625" style="11" customWidth="1"/>
    <col min="2" max="2" width="28.33203125" style="11" customWidth="1"/>
    <col min="3" max="4" width="18.33203125" style="11" customWidth="1"/>
    <col min="5" max="5" width="17.33203125" style="11" customWidth="1"/>
    <col min="6" max="6" width="34.9140625" style="11" customWidth="1"/>
    <col min="7" max="7" width="25.33203125" style="11" customWidth="1"/>
    <col min="8" max="8" width="19" style="11" customWidth="1"/>
    <col min="9" max="9" width="25.75" style="11" customWidth="1"/>
    <col min="10" max="10" width="12.75" style="11" customWidth="1"/>
    <col min="11" max="12" width="11.33203125" style="11"/>
    <col min="13" max="13" width="43.5" style="11" customWidth="1"/>
    <col min="14" max="14" width="30.75" style="11" customWidth="1"/>
    <col min="15" max="17" width="26.75" style="11" customWidth="1"/>
    <col min="18" max="18" width="6.9140625" style="46" customWidth="1"/>
    <col min="19" max="19" width="4.9140625" style="46" hidden="1" customWidth="1"/>
    <col min="20" max="20" width="11.08203125" style="46" customWidth="1"/>
    <col min="21" max="22" width="4.33203125" style="46" hidden="1" customWidth="1"/>
    <col min="23" max="23" width="17.9140625" style="46" customWidth="1"/>
    <col min="24" max="24" width="31.9140625" style="46" customWidth="1"/>
    <col min="25" max="25" width="17" style="46" bestFit="1" customWidth="1"/>
    <col min="26" max="26" width="10.08203125" style="46" customWidth="1"/>
    <col min="27" max="27" width="15.08203125" style="46" bestFit="1" customWidth="1"/>
    <col min="28" max="28" width="10.33203125" style="46" bestFit="1" customWidth="1"/>
    <col min="29" max="30" width="14.08203125" style="46" customWidth="1"/>
    <col min="31" max="32" width="17" style="46" customWidth="1"/>
    <col min="33" max="33" width="16.33203125" style="46" customWidth="1"/>
    <col min="34" max="34" width="10.33203125" style="46" hidden="1" customWidth="1"/>
    <col min="35" max="35" width="7.9140625" style="46" hidden="1" customWidth="1"/>
    <col min="36" max="36" width="11.9140625" style="46" hidden="1" customWidth="1"/>
    <col min="37" max="37" width="5.33203125" style="46" hidden="1" customWidth="1"/>
    <col min="38" max="39" width="7.25" style="46" customWidth="1"/>
    <col min="40" max="40" width="7.25" style="46" hidden="1" customWidth="1"/>
    <col min="41" max="41" width="11.25" style="46" hidden="1" customWidth="1"/>
    <col min="42" max="42" width="15.25" style="46" customWidth="1"/>
    <col min="43" max="43" width="21" style="46" customWidth="1"/>
    <col min="44" max="44" width="32.9140625" style="46" customWidth="1"/>
    <col min="45" max="45" width="25.9140625" style="11" customWidth="1"/>
    <col min="46" max="46" width="16.25" style="11" customWidth="1"/>
    <col min="47" max="47" width="15.08203125" style="11" customWidth="1"/>
    <col min="48" max="49" width="16.9140625" style="11" customWidth="1"/>
    <col min="50" max="53" width="26.33203125" style="11" customWidth="1"/>
    <col min="54" max="54" width="15.33203125" style="11" customWidth="1"/>
    <col min="55" max="16384" width="11.33203125" style="11"/>
  </cols>
  <sheetData>
    <row r="1" spans="1:63" customFormat="1" ht="26.25" customHeight="1">
      <c r="A1" s="212"/>
      <c r="B1" s="1"/>
      <c r="C1" s="731" t="s">
        <v>166</v>
      </c>
      <c r="D1" s="732"/>
      <c r="E1" s="732"/>
      <c r="F1" s="732"/>
      <c r="G1" s="732"/>
      <c r="H1" s="732"/>
      <c r="I1" s="732"/>
      <c r="J1" s="732"/>
      <c r="K1" s="732"/>
      <c r="L1" s="733"/>
      <c r="M1" s="2" t="s">
        <v>0</v>
      </c>
      <c r="N1" s="81" t="s">
        <v>173</v>
      </c>
      <c r="O1" s="4"/>
      <c r="P1" s="4"/>
      <c r="Q1" s="4"/>
      <c r="R1" s="64"/>
      <c r="S1" s="64"/>
      <c r="T1" s="64"/>
      <c r="U1" s="64"/>
      <c r="V1" s="64"/>
      <c r="W1" s="64"/>
      <c r="X1" s="64"/>
      <c r="Y1" s="64"/>
      <c r="Z1" s="64"/>
      <c r="AA1" s="64"/>
      <c r="AB1" s="64"/>
      <c r="AC1" s="64"/>
      <c r="AD1" s="64"/>
      <c r="AE1" s="64"/>
      <c r="AF1" s="64"/>
      <c r="AG1" s="64"/>
      <c r="AH1" s="16"/>
      <c r="AI1" s="16"/>
      <c r="AJ1" s="16"/>
      <c r="AK1" s="16"/>
      <c r="AL1" s="16"/>
      <c r="AM1" s="16"/>
      <c r="AN1" s="16"/>
      <c r="AO1" s="16"/>
      <c r="AP1" s="16"/>
      <c r="AQ1" s="16"/>
      <c r="AR1" s="16"/>
    </row>
    <row r="2" spans="1:63" customFormat="1" ht="22.5" customHeight="1">
      <c r="A2" s="211"/>
      <c r="B2" s="5"/>
      <c r="C2" s="734" t="s">
        <v>172</v>
      </c>
      <c r="D2" s="735"/>
      <c r="E2" s="735"/>
      <c r="F2" s="735"/>
      <c r="G2" s="735"/>
      <c r="H2" s="735"/>
      <c r="I2" s="735"/>
      <c r="J2" s="735"/>
      <c r="K2" s="735"/>
      <c r="L2" s="736"/>
      <c r="M2" s="2" t="s">
        <v>1</v>
      </c>
      <c r="N2" s="3">
        <v>1</v>
      </c>
      <c r="O2" s="4"/>
      <c r="P2" s="4"/>
      <c r="Q2" s="4"/>
      <c r="R2" s="64"/>
      <c r="S2" s="64"/>
      <c r="T2" s="64"/>
      <c r="U2" s="64"/>
      <c r="V2" s="64"/>
      <c r="W2" s="64"/>
      <c r="X2" s="64"/>
      <c r="Y2" s="64"/>
      <c r="Z2" s="64"/>
      <c r="AA2" s="64"/>
      <c r="AB2" s="64"/>
      <c r="AC2" s="64"/>
      <c r="AD2" s="64"/>
      <c r="AE2" s="64"/>
      <c r="AF2" s="64"/>
      <c r="AG2" s="64"/>
      <c r="AH2" s="16"/>
      <c r="AI2" s="16"/>
      <c r="AJ2" s="16"/>
      <c r="AK2" s="16"/>
      <c r="AL2" s="16"/>
      <c r="AM2" s="16"/>
      <c r="AN2" s="16"/>
      <c r="AO2" s="16"/>
      <c r="AP2" s="16"/>
      <c r="AQ2" s="16"/>
      <c r="AR2" s="16"/>
    </row>
    <row r="3" spans="1:63" customFormat="1" ht="22.5" customHeight="1">
      <c r="A3" s="210"/>
      <c r="B3" s="6"/>
      <c r="C3" s="737"/>
      <c r="D3" s="738"/>
      <c r="E3" s="738"/>
      <c r="F3" s="738"/>
      <c r="G3" s="738"/>
      <c r="H3" s="738"/>
      <c r="I3" s="738"/>
      <c r="J3" s="738"/>
      <c r="K3" s="738"/>
      <c r="L3" s="739"/>
      <c r="M3" s="2" t="s">
        <v>2</v>
      </c>
      <c r="N3" s="7">
        <v>45257</v>
      </c>
      <c r="O3" s="4"/>
      <c r="P3" s="4"/>
      <c r="Q3" s="4"/>
      <c r="R3" s="64"/>
      <c r="S3" s="64"/>
      <c r="T3" s="64"/>
      <c r="U3" s="64"/>
      <c r="V3" s="64"/>
      <c r="W3" s="64"/>
      <c r="X3" s="64"/>
      <c r="Y3" s="64"/>
      <c r="Z3" s="64"/>
      <c r="AA3" s="64"/>
      <c r="AB3" s="64"/>
      <c r="AC3" s="64"/>
      <c r="AD3" s="64"/>
      <c r="AE3" s="64"/>
      <c r="AF3" s="64"/>
      <c r="AG3" s="64"/>
      <c r="AH3" s="16"/>
      <c r="AI3" s="16"/>
      <c r="AJ3" s="16"/>
      <c r="AK3" s="16"/>
      <c r="AL3" s="16"/>
      <c r="AM3" s="16"/>
      <c r="AN3" s="16"/>
      <c r="AO3" s="16"/>
      <c r="AP3" s="16"/>
      <c r="AQ3" s="16"/>
      <c r="AR3" s="16"/>
    </row>
    <row r="4" spans="1:63" s="8" customFormat="1" ht="49.5" customHeight="1">
      <c r="N4" s="209"/>
      <c r="R4" s="73"/>
      <c r="S4" s="73"/>
      <c r="T4" s="73"/>
      <c r="U4" s="73"/>
      <c r="V4" s="73"/>
      <c r="W4" s="73"/>
      <c r="X4" s="329"/>
      <c r="Y4" s="329"/>
      <c r="Z4" s="329"/>
      <c r="AA4" s="329"/>
      <c r="AB4" s="329"/>
      <c r="AC4" s="74"/>
      <c r="AD4" s="74"/>
      <c r="AE4" s="74"/>
      <c r="AF4" s="74"/>
      <c r="AG4" s="74"/>
      <c r="AH4" s="73"/>
      <c r="AI4" s="73"/>
      <c r="AJ4" s="73"/>
      <c r="AK4" s="73"/>
      <c r="AL4" s="73"/>
      <c r="AM4" s="73"/>
      <c r="AN4" s="73"/>
      <c r="AO4" s="73"/>
      <c r="AP4" s="73"/>
      <c r="AQ4" s="73"/>
      <c r="AR4" s="73"/>
    </row>
    <row r="5" spans="1:63" customFormat="1" ht="51" customHeight="1" thickBot="1">
      <c r="A5" s="740" t="s">
        <v>198</v>
      </c>
      <c r="B5" s="741"/>
      <c r="C5" s="741"/>
      <c r="D5" s="741"/>
      <c r="E5" s="741"/>
      <c r="F5" s="741"/>
      <c r="G5" s="741"/>
      <c r="H5" s="741"/>
      <c r="I5" s="741"/>
      <c r="J5" s="741"/>
      <c r="K5" s="741"/>
      <c r="L5" s="741"/>
      <c r="M5" s="741"/>
      <c r="N5" s="741"/>
      <c r="O5" s="741"/>
      <c r="P5" s="741"/>
      <c r="Q5" s="741"/>
      <c r="R5" s="741"/>
      <c r="S5" s="741"/>
      <c r="T5" s="741"/>
      <c r="U5" s="741"/>
      <c r="V5" s="741"/>
      <c r="W5" s="741"/>
      <c r="X5" s="741"/>
      <c r="Y5" s="741"/>
      <c r="Z5" s="741"/>
      <c r="AA5" s="741"/>
      <c r="AB5" s="741"/>
      <c r="AC5" s="741"/>
      <c r="AD5" s="741"/>
      <c r="AE5" s="741"/>
      <c r="AF5" s="741"/>
      <c r="AG5" s="741"/>
      <c r="AH5" s="741"/>
      <c r="AI5" s="741"/>
      <c r="AJ5" s="741"/>
      <c r="AK5" s="741"/>
      <c r="AL5" s="741"/>
      <c r="AM5" s="741"/>
      <c r="AN5" s="741"/>
      <c r="AO5" s="741"/>
      <c r="AP5" s="741"/>
      <c r="AQ5" s="64"/>
      <c r="AR5" s="64"/>
      <c r="AS5" s="4"/>
      <c r="AT5" s="4"/>
      <c r="AU5" s="4"/>
      <c r="AV5" s="4"/>
      <c r="AW5" s="4"/>
      <c r="AX5" s="4"/>
      <c r="AY5" s="4"/>
      <c r="AZ5" s="4"/>
      <c r="BA5" s="4"/>
      <c r="BB5" s="4"/>
      <c r="BC5" s="4"/>
      <c r="BD5" s="4"/>
      <c r="BE5" s="4"/>
      <c r="BF5" s="4"/>
      <c r="BG5" s="4"/>
      <c r="BH5" s="4"/>
      <c r="BI5" s="4"/>
      <c r="BJ5" s="4"/>
      <c r="BK5" s="4"/>
    </row>
    <row r="6" spans="1:63" s="9" customFormat="1" ht="12.75" customHeight="1">
      <c r="A6" s="742" t="s">
        <v>167</v>
      </c>
      <c r="B6" s="743"/>
      <c r="C6" s="743"/>
      <c r="D6" s="743"/>
      <c r="E6" s="743"/>
      <c r="F6" s="743"/>
      <c r="G6" s="743"/>
      <c r="H6" s="743"/>
      <c r="I6" s="743"/>
      <c r="J6" s="743"/>
      <c r="K6" s="743"/>
      <c r="L6" s="743"/>
      <c r="M6" s="743"/>
      <c r="N6" s="743"/>
      <c r="O6" s="743"/>
      <c r="P6" s="743"/>
      <c r="Q6" s="744"/>
      <c r="R6" s="742" t="s">
        <v>168</v>
      </c>
      <c r="S6" s="743"/>
      <c r="T6" s="743"/>
      <c r="U6" s="743"/>
      <c r="V6" s="743"/>
      <c r="W6" s="744"/>
      <c r="X6" s="742" t="s">
        <v>3</v>
      </c>
      <c r="Y6" s="743"/>
      <c r="Z6" s="743"/>
      <c r="AA6" s="743"/>
      <c r="AB6" s="743"/>
      <c r="AC6" s="743"/>
      <c r="AD6" s="743"/>
      <c r="AE6" s="743"/>
      <c r="AF6" s="743"/>
      <c r="AG6" s="744"/>
      <c r="AH6" s="330" t="s">
        <v>169</v>
      </c>
      <c r="AI6" s="440" t="s">
        <v>924</v>
      </c>
      <c r="AJ6" s="440"/>
      <c r="AK6" s="440"/>
      <c r="AL6" s="440"/>
      <c r="AM6" s="440"/>
      <c r="AN6" s="440"/>
      <c r="AO6" s="440"/>
      <c r="AP6" s="441"/>
      <c r="AQ6" s="10"/>
      <c r="AR6" s="70"/>
    </row>
    <row r="7" spans="1:63" ht="15.75" customHeight="1">
      <c r="A7" s="745"/>
      <c r="B7" s="746"/>
      <c r="C7" s="746"/>
      <c r="D7" s="746"/>
      <c r="E7" s="746"/>
      <c r="F7" s="746"/>
      <c r="G7" s="746"/>
      <c r="H7" s="746"/>
      <c r="I7" s="746"/>
      <c r="J7" s="746"/>
      <c r="K7" s="746"/>
      <c r="L7" s="746"/>
      <c r="M7" s="746"/>
      <c r="N7" s="746"/>
      <c r="O7" s="746"/>
      <c r="P7" s="746"/>
      <c r="Q7" s="747"/>
      <c r="R7" s="745"/>
      <c r="S7" s="746"/>
      <c r="T7" s="746"/>
      <c r="U7" s="746"/>
      <c r="V7" s="746"/>
      <c r="W7" s="747"/>
      <c r="X7" s="745"/>
      <c r="Y7" s="746"/>
      <c r="Z7" s="746"/>
      <c r="AA7" s="746"/>
      <c r="AB7" s="746"/>
      <c r="AC7" s="746"/>
      <c r="AD7" s="746"/>
      <c r="AE7" s="746"/>
      <c r="AF7" s="746"/>
      <c r="AG7" s="747"/>
      <c r="AH7" s="331"/>
      <c r="AI7" s="442"/>
      <c r="AJ7" s="442"/>
      <c r="AK7" s="442"/>
      <c r="AL7" s="442"/>
      <c r="AM7" s="442"/>
      <c r="AN7" s="442"/>
      <c r="AO7" s="442"/>
      <c r="AP7" s="443"/>
      <c r="AQ7" s="10"/>
    </row>
    <row r="8" spans="1:63" ht="29.25" customHeight="1" thickBot="1">
      <c r="A8" s="748"/>
      <c r="B8" s="749"/>
      <c r="C8" s="749"/>
      <c r="D8" s="749"/>
      <c r="E8" s="749"/>
      <c r="F8" s="749"/>
      <c r="G8" s="749"/>
      <c r="H8" s="749"/>
      <c r="I8" s="749"/>
      <c r="J8" s="749"/>
      <c r="K8" s="749"/>
      <c r="L8" s="749"/>
      <c r="M8" s="749"/>
      <c r="N8" s="749"/>
      <c r="O8" s="749"/>
      <c r="P8" s="749"/>
      <c r="Q8" s="750"/>
      <c r="R8" s="748"/>
      <c r="S8" s="749"/>
      <c r="T8" s="749"/>
      <c r="U8" s="749"/>
      <c r="V8" s="749"/>
      <c r="W8" s="750"/>
      <c r="X8" s="748"/>
      <c r="Y8" s="749"/>
      <c r="Z8" s="749"/>
      <c r="AA8" s="749"/>
      <c r="AB8" s="749"/>
      <c r="AC8" s="749"/>
      <c r="AD8" s="749"/>
      <c r="AE8" s="749"/>
      <c r="AF8" s="749"/>
      <c r="AG8" s="750"/>
      <c r="AH8" s="332"/>
      <c r="AI8" s="573"/>
      <c r="AJ8" s="573"/>
      <c r="AK8" s="573"/>
      <c r="AL8" s="573"/>
      <c r="AM8" s="573"/>
      <c r="AN8" s="573"/>
      <c r="AO8" s="573"/>
      <c r="AP8" s="574"/>
    </row>
    <row r="9" spans="1:63" ht="51" customHeight="1" thickBot="1">
      <c r="A9" s="726" t="s">
        <v>4</v>
      </c>
      <c r="B9" s="728" t="s">
        <v>5</v>
      </c>
      <c r="C9" s="726" t="s">
        <v>6</v>
      </c>
      <c r="D9" s="728" t="s">
        <v>7</v>
      </c>
      <c r="E9" s="709" t="s">
        <v>8</v>
      </c>
      <c r="F9" s="714" t="s">
        <v>9</v>
      </c>
      <c r="G9" s="753" t="s">
        <v>10</v>
      </c>
      <c r="H9" s="728" t="s">
        <v>158</v>
      </c>
      <c r="I9" s="728" t="s">
        <v>11</v>
      </c>
      <c r="J9" s="709" t="s">
        <v>12</v>
      </c>
      <c r="K9" s="714" t="s">
        <v>199</v>
      </c>
      <c r="L9" s="714" t="s">
        <v>13</v>
      </c>
      <c r="M9" s="751" t="s">
        <v>14</v>
      </c>
      <c r="N9" s="752"/>
      <c r="O9" s="753" t="s">
        <v>22</v>
      </c>
      <c r="P9" s="728" t="s">
        <v>23</v>
      </c>
      <c r="Q9" s="726" t="s">
        <v>24</v>
      </c>
      <c r="R9" s="701" t="s">
        <v>15</v>
      </c>
      <c r="S9" s="701" t="s">
        <v>17</v>
      </c>
      <c r="T9" s="701" t="s">
        <v>16</v>
      </c>
      <c r="U9" s="703" t="s">
        <v>17</v>
      </c>
      <c r="V9" s="705" t="s">
        <v>148</v>
      </c>
      <c r="W9" s="707" t="s">
        <v>18</v>
      </c>
      <c r="X9" s="709" t="s">
        <v>19</v>
      </c>
      <c r="Y9" s="711" t="s">
        <v>20</v>
      </c>
      <c r="Z9" s="712"/>
      <c r="AA9" s="712"/>
      <c r="AB9" s="712"/>
      <c r="AC9" s="712"/>
      <c r="AD9" s="712"/>
      <c r="AE9" s="712"/>
      <c r="AF9" s="712"/>
      <c r="AG9" s="713"/>
      <c r="AH9" s="701" t="s">
        <v>15</v>
      </c>
      <c r="AI9" s="722" t="s">
        <v>145</v>
      </c>
      <c r="AJ9" s="722" t="s">
        <v>142</v>
      </c>
      <c r="AK9" s="724" t="s">
        <v>149</v>
      </c>
      <c r="AL9" s="695" t="s">
        <v>146</v>
      </c>
      <c r="AM9" s="695" t="s">
        <v>165</v>
      </c>
      <c r="AN9" s="695" t="s">
        <v>147</v>
      </c>
      <c r="AO9" s="697" t="s">
        <v>165</v>
      </c>
      <c r="AP9" s="699" t="s">
        <v>150</v>
      </c>
      <c r="AQ9" s="642" t="s">
        <v>171</v>
      </c>
      <c r="AR9" s="643"/>
      <c r="AS9" s="643"/>
      <c r="AT9" s="643"/>
      <c r="AU9" s="643"/>
      <c r="AV9" s="643"/>
      <c r="AW9" s="645"/>
      <c r="AX9" s="642" t="s">
        <v>170</v>
      </c>
      <c r="AY9" s="643"/>
      <c r="AZ9" s="643"/>
      <c r="BA9" s="643"/>
      <c r="BB9" s="716" t="s">
        <v>41</v>
      </c>
    </row>
    <row r="10" spans="1:63" ht="63.75" customHeight="1" thickBot="1">
      <c r="A10" s="727"/>
      <c r="B10" s="729"/>
      <c r="C10" s="727"/>
      <c r="D10" s="729"/>
      <c r="E10" s="710"/>
      <c r="F10" s="730"/>
      <c r="G10" s="756"/>
      <c r="H10" s="729"/>
      <c r="I10" s="729"/>
      <c r="J10" s="757"/>
      <c r="K10" s="715"/>
      <c r="L10" s="715"/>
      <c r="M10" s="72" t="s">
        <v>21</v>
      </c>
      <c r="N10" s="72" t="s">
        <v>200</v>
      </c>
      <c r="O10" s="754"/>
      <c r="P10" s="729"/>
      <c r="Q10" s="755"/>
      <c r="R10" s="702"/>
      <c r="S10" s="702" t="s">
        <v>17</v>
      </c>
      <c r="T10" s="702"/>
      <c r="U10" s="704"/>
      <c r="V10" s="706"/>
      <c r="W10" s="708"/>
      <c r="X10" s="710"/>
      <c r="Y10" s="67" t="s">
        <v>25</v>
      </c>
      <c r="Z10" s="68" t="s">
        <v>26</v>
      </c>
      <c r="AA10" s="67" t="s">
        <v>27</v>
      </c>
      <c r="AB10" s="71" t="s">
        <v>26</v>
      </c>
      <c r="AC10" s="71" t="s">
        <v>162</v>
      </c>
      <c r="AD10" s="71" t="s">
        <v>163</v>
      </c>
      <c r="AE10" s="67" t="s">
        <v>201</v>
      </c>
      <c r="AF10" s="67" t="s">
        <v>28</v>
      </c>
      <c r="AG10" s="69" t="s">
        <v>29</v>
      </c>
      <c r="AH10" s="721"/>
      <c r="AI10" s="723"/>
      <c r="AJ10" s="723"/>
      <c r="AK10" s="725"/>
      <c r="AL10" s="696"/>
      <c r="AM10" s="696"/>
      <c r="AN10" s="696"/>
      <c r="AO10" s="698"/>
      <c r="AP10" s="700"/>
      <c r="AQ10" s="719" t="s">
        <v>30</v>
      </c>
      <c r="AR10" s="689" t="s">
        <v>31</v>
      </c>
      <c r="AS10" s="689" t="s">
        <v>32</v>
      </c>
      <c r="AT10" s="689" t="s">
        <v>33</v>
      </c>
      <c r="AU10" s="66" t="s">
        <v>34</v>
      </c>
      <c r="AV10" s="689" t="s">
        <v>35</v>
      </c>
      <c r="AW10" s="689" t="s">
        <v>36</v>
      </c>
      <c r="AX10" s="689" t="s">
        <v>37</v>
      </c>
      <c r="AY10" s="65" t="s">
        <v>38</v>
      </c>
      <c r="AZ10" s="65" t="s">
        <v>39</v>
      </c>
      <c r="BA10" s="65" t="s">
        <v>40</v>
      </c>
      <c r="BB10" s="717"/>
      <c r="BF10" s="12"/>
    </row>
    <row r="11" spans="1:63" ht="0.75" customHeight="1" thickBot="1">
      <c r="J11" s="208"/>
      <c r="K11" s="207"/>
      <c r="L11" s="207"/>
      <c r="M11" s="207"/>
      <c r="N11" s="206"/>
      <c r="O11" s="205"/>
      <c r="P11" s="205"/>
      <c r="Q11" s="205"/>
      <c r="R11" s="204"/>
      <c r="S11" s="203"/>
      <c r="T11" s="202"/>
      <c r="U11" s="123"/>
      <c r="V11" s="201"/>
      <c r="W11" s="201"/>
      <c r="X11" s="200"/>
      <c r="Y11" s="199"/>
      <c r="Z11" s="198"/>
      <c r="AA11" s="198"/>
      <c r="AB11" s="198"/>
      <c r="AC11" s="198"/>
      <c r="AD11" s="197"/>
      <c r="AE11" s="197"/>
      <c r="AF11" s="197"/>
      <c r="AG11" s="197"/>
      <c r="AH11" s="196"/>
      <c r="AI11" s="196"/>
      <c r="AJ11" s="196"/>
      <c r="AK11" s="195"/>
      <c r="AL11" s="195"/>
      <c r="AM11" s="195"/>
      <c r="AN11" s="195"/>
      <c r="AO11" s="195"/>
      <c r="AP11" s="194"/>
      <c r="AQ11" s="720"/>
      <c r="AR11" s="690"/>
      <c r="AS11" s="690"/>
      <c r="AT11" s="690"/>
      <c r="AU11" s="67"/>
      <c r="AV11" s="690"/>
      <c r="AW11" s="690"/>
      <c r="AX11" s="690"/>
      <c r="AY11" s="193"/>
      <c r="AZ11" s="193"/>
      <c r="BA11" s="193"/>
      <c r="BB11" s="718"/>
      <c r="BF11" s="12"/>
    </row>
    <row r="12" spans="1:63" s="51" customFormat="1" ht="234.75" customHeight="1">
      <c r="A12" s="336" t="s">
        <v>975</v>
      </c>
      <c r="B12" s="82" t="s">
        <v>52</v>
      </c>
      <c r="C12" s="83" t="s">
        <v>925</v>
      </c>
      <c r="D12" s="83" t="s">
        <v>926</v>
      </c>
      <c r="E12" s="83" t="s">
        <v>926</v>
      </c>
      <c r="F12" s="83" t="s">
        <v>927</v>
      </c>
      <c r="G12" s="83" t="s">
        <v>928</v>
      </c>
      <c r="H12" s="83" t="s">
        <v>159</v>
      </c>
      <c r="I12" s="83" t="s">
        <v>205</v>
      </c>
      <c r="J12" s="109" t="s">
        <v>178</v>
      </c>
      <c r="K12" s="109" t="s">
        <v>178</v>
      </c>
      <c r="L12" s="109" t="s">
        <v>271</v>
      </c>
      <c r="M12" s="83" t="s">
        <v>929</v>
      </c>
      <c r="N12" s="83" t="s">
        <v>930</v>
      </c>
      <c r="O12" s="89" t="s">
        <v>177</v>
      </c>
      <c r="P12" s="89" t="s">
        <v>75</v>
      </c>
      <c r="Q12" s="227" t="s">
        <v>931</v>
      </c>
      <c r="R12" s="127" t="s">
        <v>42</v>
      </c>
      <c r="S12" s="114">
        <f>+VLOOKUP(R12,[9]Campos!$H$11:$J$37,3,FALSE)</f>
        <v>52</v>
      </c>
      <c r="T12" s="130" t="s">
        <v>96</v>
      </c>
      <c r="U12" s="114">
        <f>+VLOOKUP(Selección1,[9]Campos!$K$11:$M$37,3,FALSE)</f>
        <v>33</v>
      </c>
      <c r="V12" s="114">
        <f>+S12+U12</f>
        <v>85</v>
      </c>
      <c r="W12" s="114" t="s">
        <v>97</v>
      </c>
      <c r="X12" s="83" t="s">
        <v>932</v>
      </c>
      <c r="Y12" s="109" t="s">
        <v>118</v>
      </c>
      <c r="Z12" s="110">
        <f>VLOOKUP(Y12,[9]Campos!$D$61:$F$63,2,FALSE)</f>
        <v>0.25</v>
      </c>
      <c r="AA12" s="110" t="s">
        <v>43</v>
      </c>
      <c r="AB12" s="110">
        <f>VLOOKUP(AA12,[9]Campos!$D$66:$E$67,2,FALSE)</f>
        <v>0.15</v>
      </c>
      <c r="AC12" s="110">
        <f>+Z12+AB12</f>
        <v>0.4</v>
      </c>
      <c r="AD12" s="110">
        <f>+IF(Y12="Correctivo",'Operaciones Aéreas'!AC12+0.1,'Operaciones Aéreas'!AC12*0)</f>
        <v>0</v>
      </c>
      <c r="AE12" s="111" t="s">
        <v>44</v>
      </c>
      <c r="AF12" s="111" t="s">
        <v>126</v>
      </c>
      <c r="AG12" s="110" t="s">
        <v>129</v>
      </c>
      <c r="AH12" s="112" t="s">
        <v>46</v>
      </c>
      <c r="AI12" s="113">
        <v>0.6</v>
      </c>
      <c r="AJ12" s="112" t="s">
        <v>96</v>
      </c>
      <c r="AK12" s="112">
        <f>+VLOOKUP(AJ12,[9]Campos!$S$32:$T$39,2,FALSE)</f>
        <v>0.6</v>
      </c>
      <c r="AL12" s="337">
        <f>+AI12-(AI12*AC12)</f>
        <v>0.36</v>
      </c>
      <c r="AM12" s="112" t="str">
        <f>+VLOOKUP(AL12,[9]Campos!$W$23:$X$122,2,TRUE)</f>
        <v>Baja - 40%</v>
      </c>
      <c r="AN12" s="338">
        <f>+IF(Y12="Correctivo",AK12*AD12,AK12*1)</f>
        <v>0.6</v>
      </c>
      <c r="AO12" s="112" t="str">
        <f>+VLOOKUP(AN12,[9]Campos!$W$22:$Y$122,3,TRUE)</f>
        <v>3 Moderado</v>
      </c>
      <c r="AP12" s="131" t="s">
        <v>97</v>
      </c>
      <c r="AQ12" s="257" t="s">
        <v>98</v>
      </c>
      <c r="AR12" s="83" t="s">
        <v>933</v>
      </c>
      <c r="AS12" s="83" t="s">
        <v>934</v>
      </c>
      <c r="AT12" s="83" t="s">
        <v>935</v>
      </c>
      <c r="AU12" s="83" t="s">
        <v>157</v>
      </c>
      <c r="AV12" s="691" t="s">
        <v>980</v>
      </c>
      <c r="AW12" s="692"/>
      <c r="AX12" s="83" t="s">
        <v>936</v>
      </c>
      <c r="AY12" s="83" t="s">
        <v>937</v>
      </c>
      <c r="AZ12" s="83" t="s">
        <v>938</v>
      </c>
      <c r="BA12" s="83" t="s">
        <v>338</v>
      </c>
      <c r="BB12" s="83" t="s">
        <v>178</v>
      </c>
      <c r="BF12" s="52"/>
    </row>
    <row r="13" spans="1:63" s="51" customFormat="1" ht="293.5" customHeight="1">
      <c r="A13" s="336" t="s">
        <v>976</v>
      </c>
      <c r="B13" s="82" t="s">
        <v>52</v>
      </c>
      <c r="C13" s="83" t="s">
        <v>925</v>
      </c>
      <c r="D13" s="83" t="s">
        <v>926</v>
      </c>
      <c r="E13" s="83" t="s">
        <v>926</v>
      </c>
      <c r="F13" s="83" t="s">
        <v>939</v>
      </c>
      <c r="G13" s="83" t="s">
        <v>981</v>
      </c>
      <c r="H13" s="83" t="s">
        <v>159</v>
      </c>
      <c r="I13" s="83" t="s">
        <v>381</v>
      </c>
      <c r="J13" s="109" t="s">
        <v>178</v>
      </c>
      <c r="K13" s="109" t="s">
        <v>178</v>
      </c>
      <c r="L13" s="109" t="s">
        <v>271</v>
      </c>
      <c r="M13" s="83" t="s">
        <v>940</v>
      </c>
      <c r="N13" s="83" t="s">
        <v>982</v>
      </c>
      <c r="O13" s="89" t="s">
        <v>177</v>
      </c>
      <c r="P13" s="89" t="s">
        <v>79</v>
      </c>
      <c r="Q13" s="231" t="s">
        <v>941</v>
      </c>
      <c r="R13" s="127" t="s">
        <v>42</v>
      </c>
      <c r="S13" s="114">
        <f>+VLOOKUP(R13,[9]Campos!$H$11:$J$37,3,FALSE)</f>
        <v>52</v>
      </c>
      <c r="T13" s="130" t="s">
        <v>96</v>
      </c>
      <c r="U13" s="114">
        <f>+VLOOKUP(Selección1,[9]Campos!$K$11:$M$37,3,FALSE)</f>
        <v>33</v>
      </c>
      <c r="V13" s="114">
        <f>+S13+U13</f>
        <v>85</v>
      </c>
      <c r="W13" s="114" t="s">
        <v>97</v>
      </c>
      <c r="X13" s="83" t="s">
        <v>942</v>
      </c>
      <c r="Y13" s="82" t="s">
        <v>118</v>
      </c>
      <c r="Z13" s="110">
        <f>VLOOKUP(Y13,[9]Campos!$D$61:$F$63,2,FALSE)</f>
        <v>0.25</v>
      </c>
      <c r="AA13" s="83" t="s">
        <v>43</v>
      </c>
      <c r="AB13" s="83">
        <f>VLOOKUP(AA13,[9]Campos!$D$66:$E$67,2,FALSE)</f>
        <v>0.15</v>
      </c>
      <c r="AC13" s="83">
        <f>+Z13+AB13</f>
        <v>0.4</v>
      </c>
      <c r="AD13" s="83">
        <f>+IF(Y13="Correctivo",'Operaciones Aéreas'!AC13+0.1,'Operaciones Aéreas'!AC13*0)</f>
        <v>0</v>
      </c>
      <c r="AE13" s="84" t="s">
        <v>44</v>
      </c>
      <c r="AF13" s="84" t="s">
        <v>126</v>
      </c>
      <c r="AG13" s="83" t="s">
        <v>129</v>
      </c>
      <c r="AH13" s="91" t="s">
        <v>46</v>
      </c>
      <c r="AI13" s="92">
        <v>0.6</v>
      </c>
      <c r="AJ13" s="91" t="s">
        <v>96</v>
      </c>
      <c r="AK13" s="91">
        <f>+VLOOKUP(AJ13,[9]Campos!$S$32:$T$39,2,FALSE)</f>
        <v>0.6</v>
      </c>
      <c r="AL13" s="337">
        <f>+AI13-(AI13*AC13)</f>
        <v>0.36</v>
      </c>
      <c r="AM13" s="91" t="str">
        <f>+VLOOKUP(AL13,[9]Campos!$W$23:$X$122,2,TRUE)</f>
        <v>Baja - 40%</v>
      </c>
      <c r="AN13" s="339">
        <f>+[9]Campos!L112</f>
        <v>0.6</v>
      </c>
      <c r="AO13" s="91" t="str">
        <f>+VLOOKUP(AN13,[9]Campos!$W$22:$Y$122,3,TRUE)</f>
        <v>3 Moderado</v>
      </c>
      <c r="AP13" s="88" t="s">
        <v>97</v>
      </c>
      <c r="AQ13" s="144" t="str">
        <f>+VLOOKUP(AP13,[9]Campos!K101:L107,2,FALSE)</f>
        <v>Reducir el riesgo</v>
      </c>
      <c r="AR13" s="118" t="s">
        <v>983</v>
      </c>
      <c r="AS13" s="118" t="s">
        <v>943</v>
      </c>
      <c r="AT13" s="83" t="s">
        <v>944</v>
      </c>
      <c r="AU13" s="83" t="s">
        <v>157</v>
      </c>
      <c r="AV13" s="693" t="s">
        <v>984</v>
      </c>
      <c r="AW13" s="694"/>
      <c r="AX13" s="83" t="s">
        <v>936</v>
      </c>
      <c r="AY13" s="83" t="s">
        <v>937</v>
      </c>
      <c r="AZ13" s="83" t="s">
        <v>945</v>
      </c>
      <c r="BA13" s="83" t="s">
        <v>338</v>
      </c>
      <c r="BB13" s="83" t="s">
        <v>178</v>
      </c>
      <c r="BF13" s="52"/>
    </row>
    <row r="14" spans="1:63" s="51" customFormat="1" ht="299.25" customHeight="1">
      <c r="A14" s="681" t="s">
        <v>977</v>
      </c>
      <c r="B14" s="482" t="s">
        <v>52</v>
      </c>
      <c r="C14" s="479" t="s">
        <v>925</v>
      </c>
      <c r="D14" s="479" t="s">
        <v>946</v>
      </c>
      <c r="E14" s="479" t="s">
        <v>59</v>
      </c>
      <c r="F14" s="479" t="s">
        <v>947</v>
      </c>
      <c r="G14" s="479" t="s">
        <v>948</v>
      </c>
      <c r="H14" s="479" t="s">
        <v>159</v>
      </c>
      <c r="I14" s="479" t="s">
        <v>381</v>
      </c>
      <c r="J14" s="479" t="s">
        <v>178</v>
      </c>
      <c r="K14" s="479" t="s">
        <v>178</v>
      </c>
      <c r="L14" s="482" t="s">
        <v>74</v>
      </c>
      <c r="M14" s="479" t="s">
        <v>949</v>
      </c>
      <c r="N14" s="479" t="s">
        <v>950</v>
      </c>
      <c r="O14" s="502" t="s">
        <v>177</v>
      </c>
      <c r="P14" s="502" t="s">
        <v>79</v>
      </c>
      <c r="Q14" s="502" t="s">
        <v>941</v>
      </c>
      <c r="R14" s="502" t="s">
        <v>42</v>
      </c>
      <c r="S14" s="522">
        <f>+VLOOKUP(R14,[9]Campos!$H$11:$J$37,3,FALSE)</f>
        <v>52</v>
      </c>
      <c r="T14" s="512" t="s">
        <v>96</v>
      </c>
      <c r="U14" s="522">
        <f>+VLOOKUP(Selección1,[9]Campos!$K$11:$M$37,3,FALSE)</f>
        <v>33</v>
      </c>
      <c r="V14" s="522">
        <f t="shared" ref="V14" si="0">+S14+U14</f>
        <v>85</v>
      </c>
      <c r="W14" s="522" t="s">
        <v>97</v>
      </c>
      <c r="X14" s="106" t="s">
        <v>951</v>
      </c>
      <c r="Y14" s="124" t="s">
        <v>118</v>
      </c>
      <c r="Z14" s="107">
        <f>VLOOKUP(Y14,[9]Campos!$D$61:$F$63,2,FALSE)</f>
        <v>0.25</v>
      </c>
      <c r="AA14" s="107" t="s">
        <v>43</v>
      </c>
      <c r="AB14" s="107">
        <f>VLOOKUP(AA14,[9]Campos!$D$66:$E$67,2,FALSE)</f>
        <v>0.15</v>
      </c>
      <c r="AC14" s="107">
        <f>+Z14+AB14</f>
        <v>0.4</v>
      </c>
      <c r="AD14" s="107">
        <f>+IF(Y14="Correctivo",'Operaciones Aéreas'!AC14+0.1,'Operaciones Aéreas'!AC14*0)</f>
        <v>0</v>
      </c>
      <c r="AE14" s="235" t="s">
        <v>44</v>
      </c>
      <c r="AF14" s="235" t="s">
        <v>126</v>
      </c>
      <c r="AG14" s="107" t="s">
        <v>129</v>
      </c>
      <c r="AH14" s="135" t="s">
        <v>135</v>
      </c>
      <c r="AI14" s="92">
        <v>0.6</v>
      </c>
      <c r="AJ14" s="91" t="s">
        <v>96</v>
      </c>
      <c r="AK14" s="91">
        <f>+VLOOKUP(AJ14,[9]Campos!$S$32:$T$39,2,FALSE)</f>
        <v>0.6</v>
      </c>
      <c r="AL14" s="337">
        <f>+AI14-(AI14*AC14)</f>
        <v>0.36</v>
      </c>
      <c r="AM14" s="91" t="str">
        <f>+VLOOKUP(AL14,[9]Campos!$W$23:$X$122,2,TRUE)</f>
        <v>Baja - 40%</v>
      </c>
      <c r="AN14" s="339">
        <f>+[9]Campos!L113</f>
        <v>0.6</v>
      </c>
      <c r="AO14" s="91" t="str">
        <f>+VLOOKUP(AN14,[9]Campos!$W$22:$Y$122,3,TRUE)</f>
        <v>3 Moderado</v>
      </c>
      <c r="AP14" s="526" t="s">
        <v>97</v>
      </c>
      <c r="AQ14" s="687" t="str">
        <f>+VLOOKUP(AP14,[9]Campos!K102:L108,2,FALSE)</f>
        <v>Reducir el riesgo</v>
      </c>
      <c r="AR14" s="424" t="s">
        <v>985</v>
      </c>
      <c r="AS14" s="424" t="s">
        <v>952</v>
      </c>
      <c r="AT14" s="424" t="s">
        <v>953</v>
      </c>
      <c r="AU14" s="461" t="s">
        <v>157</v>
      </c>
      <c r="AV14" s="683" t="s">
        <v>986</v>
      </c>
      <c r="AW14" s="684"/>
      <c r="AX14" s="424" t="s">
        <v>936</v>
      </c>
      <c r="AY14" s="474" t="s">
        <v>937</v>
      </c>
      <c r="AZ14" s="474" t="s">
        <v>954</v>
      </c>
      <c r="BA14" s="474" t="s">
        <v>338</v>
      </c>
      <c r="BB14" s="424" t="s">
        <v>178</v>
      </c>
      <c r="BF14" s="52"/>
    </row>
    <row r="15" spans="1:63" s="51" customFormat="1" ht="299.25" customHeight="1">
      <c r="A15" s="682"/>
      <c r="B15" s="484"/>
      <c r="C15" s="481"/>
      <c r="D15" s="481"/>
      <c r="E15" s="481"/>
      <c r="F15" s="481"/>
      <c r="G15" s="481"/>
      <c r="H15" s="481"/>
      <c r="I15" s="481"/>
      <c r="J15" s="481"/>
      <c r="K15" s="481"/>
      <c r="L15" s="484"/>
      <c r="M15" s="481"/>
      <c r="N15" s="481"/>
      <c r="O15" s="503"/>
      <c r="P15" s="503"/>
      <c r="Q15" s="503"/>
      <c r="R15" s="503"/>
      <c r="S15" s="511"/>
      <c r="T15" s="514"/>
      <c r="U15" s="511"/>
      <c r="V15" s="511"/>
      <c r="W15" s="511"/>
      <c r="X15" s="239" t="s">
        <v>955</v>
      </c>
      <c r="Y15" s="124" t="s">
        <v>118</v>
      </c>
      <c r="Z15" s="107">
        <f>VLOOKUP(Y15,[9]Campos!$D$61:$F$63,2,FALSE)</f>
        <v>0.25</v>
      </c>
      <c r="AA15" s="107" t="s">
        <v>43</v>
      </c>
      <c r="AB15" s="107">
        <f>VLOOKUP(AA15,[9]Campos!$D$66:$E$67,2,FALSE)</f>
        <v>0.15</v>
      </c>
      <c r="AC15" s="107">
        <f>+Z15+AB15</f>
        <v>0.4</v>
      </c>
      <c r="AD15" s="107">
        <f>+IF(Y15="Correctivo",'Operaciones Aéreas'!AC15+0.1,'Operaciones Aéreas'!AC15*0)</f>
        <v>0</v>
      </c>
      <c r="AE15" s="235" t="s">
        <v>44</v>
      </c>
      <c r="AF15" s="235" t="s">
        <v>126</v>
      </c>
      <c r="AG15" s="107" t="s">
        <v>129</v>
      </c>
      <c r="AH15" s="112"/>
      <c r="AI15" s="113">
        <v>0.36</v>
      </c>
      <c r="AJ15" s="91" t="s">
        <v>96</v>
      </c>
      <c r="AK15" s="340">
        <f>+VLOOKUP(AJ15,[9]Campos!$S$32:$T$39,2,FALSE)</f>
        <v>0.6</v>
      </c>
      <c r="AL15" s="337">
        <f>+AI15-(AI15*AC15)</f>
        <v>0.216</v>
      </c>
      <c r="AM15" s="91" t="str">
        <f>+VLOOKUP(AL15,[9]Campos!$W$23:$X$122,2,TRUE)</f>
        <v>Baja - 40%</v>
      </c>
      <c r="AN15" s="339">
        <f>+AN14</f>
        <v>0.6</v>
      </c>
      <c r="AO15" s="91" t="str">
        <f>+VLOOKUP(AN15,[9]Campos!$W$22:$Y$122,3,TRUE)</f>
        <v>3 Moderado</v>
      </c>
      <c r="AP15" s="528"/>
      <c r="AQ15" s="688"/>
      <c r="AR15" s="424"/>
      <c r="AS15" s="424"/>
      <c r="AT15" s="424"/>
      <c r="AU15" s="461"/>
      <c r="AV15" s="685"/>
      <c r="AW15" s="686"/>
      <c r="AX15" s="424"/>
      <c r="AY15" s="474"/>
      <c r="AZ15" s="474"/>
      <c r="BA15" s="474"/>
      <c r="BB15" s="424"/>
      <c r="BF15" s="52"/>
    </row>
    <row r="16" spans="1:63" s="51" customFormat="1" ht="195.75" customHeight="1">
      <c r="A16" s="681" t="s">
        <v>978</v>
      </c>
      <c r="B16" s="482" t="s">
        <v>52</v>
      </c>
      <c r="C16" s="479" t="s">
        <v>956</v>
      </c>
      <c r="D16" s="479" t="s">
        <v>56</v>
      </c>
      <c r="E16" s="479" t="s">
        <v>56</v>
      </c>
      <c r="F16" s="479" t="s">
        <v>957</v>
      </c>
      <c r="G16" s="479" t="s">
        <v>958</v>
      </c>
      <c r="H16" s="679" t="s">
        <v>159</v>
      </c>
      <c r="I16" s="679" t="s">
        <v>381</v>
      </c>
      <c r="J16" s="482" t="s">
        <v>178</v>
      </c>
      <c r="K16" s="482" t="s">
        <v>178</v>
      </c>
      <c r="L16" s="482" t="s">
        <v>74</v>
      </c>
      <c r="M16" s="479" t="s">
        <v>959</v>
      </c>
      <c r="N16" s="502" t="s">
        <v>960</v>
      </c>
      <c r="O16" s="502" t="s">
        <v>177</v>
      </c>
      <c r="P16" s="502" t="s">
        <v>74</v>
      </c>
      <c r="Q16" s="502" t="s">
        <v>961</v>
      </c>
      <c r="R16" s="502" t="s">
        <v>42</v>
      </c>
      <c r="S16" s="522">
        <f>+VLOOKUP(R16,[9]Campos!$H$11:$J$37,3,FALSE)</f>
        <v>52</v>
      </c>
      <c r="T16" s="512" t="s">
        <v>96</v>
      </c>
      <c r="U16" s="522">
        <f>+VLOOKUP(Selección1,[9]Campos!$K$11:$M$37,3,FALSE)</f>
        <v>33</v>
      </c>
      <c r="V16" s="522">
        <f t="shared" ref="V16" si="1">+S16+U16</f>
        <v>85</v>
      </c>
      <c r="W16" s="522" t="s">
        <v>97</v>
      </c>
      <c r="X16" s="479" t="s">
        <v>962</v>
      </c>
      <c r="Y16" s="482" t="s">
        <v>118</v>
      </c>
      <c r="Z16" s="479">
        <f>VLOOKUP(Y16,[9]Campos!$D$61:$F$63,2,FALSE)</f>
        <v>0.25</v>
      </c>
      <c r="AA16" s="479" t="s">
        <v>43</v>
      </c>
      <c r="AB16" s="479">
        <f>VLOOKUP(AA16,[9]Campos!$D$66:$E$67,2,FALSE)</f>
        <v>0.15</v>
      </c>
      <c r="AC16" s="479">
        <f>+Z16+AB16</f>
        <v>0.4</v>
      </c>
      <c r="AD16" s="479">
        <f>+IF(Y16="Correctivo",'Operaciones Aéreas'!AC16+0.1,'Operaciones Aéreas'!AC16*0)</f>
        <v>0</v>
      </c>
      <c r="AE16" s="535" t="s">
        <v>44</v>
      </c>
      <c r="AF16" s="535" t="s">
        <v>126</v>
      </c>
      <c r="AG16" s="479" t="s">
        <v>129</v>
      </c>
      <c r="AH16" s="135" t="s">
        <v>135</v>
      </c>
      <c r="AI16" s="675">
        <v>0.6</v>
      </c>
      <c r="AJ16" s="506" t="s">
        <v>96</v>
      </c>
      <c r="AK16" s="112">
        <f>+VLOOKUP(AJ16,[9]Campos!$S$32:$T$39,2,FALSE)</f>
        <v>0.6</v>
      </c>
      <c r="AL16" s="677">
        <f>+AI16-(AI16*AC16)</f>
        <v>0.36</v>
      </c>
      <c r="AM16" s="506" t="str">
        <f>+VLOOKUP(AL16,[9]Campos!$W$23:$X$122,2,TRUE)</f>
        <v>Baja - 40%</v>
      </c>
      <c r="AN16" s="671">
        <f t="shared" ref="AN16" si="2">+IF(Y16="Correctivo",AK16*AD16,AK16*1)</f>
        <v>0.6</v>
      </c>
      <c r="AO16" s="506" t="str">
        <f>+VLOOKUP(AN16,[9]Campos!$W$22:$Y$122,3,TRUE)</f>
        <v>3 Moderado</v>
      </c>
      <c r="AP16" s="526" t="s">
        <v>97</v>
      </c>
      <c r="AQ16" s="673" t="s">
        <v>98</v>
      </c>
      <c r="AR16" s="289" t="s">
        <v>963</v>
      </c>
      <c r="AS16" s="289" t="s">
        <v>964</v>
      </c>
      <c r="AT16" s="665" t="s">
        <v>965</v>
      </c>
      <c r="AU16" s="665" t="s">
        <v>157</v>
      </c>
      <c r="AV16" s="667" t="s">
        <v>987</v>
      </c>
      <c r="AW16" s="668"/>
      <c r="AX16" s="479" t="s">
        <v>966</v>
      </c>
      <c r="AY16" s="665" t="s">
        <v>967</v>
      </c>
      <c r="AZ16" s="665" t="s">
        <v>965</v>
      </c>
      <c r="BA16" s="665" t="s">
        <v>157</v>
      </c>
      <c r="BB16" s="665" t="s">
        <v>178</v>
      </c>
      <c r="BC16" s="666"/>
      <c r="BD16" s="666"/>
      <c r="BE16" s="666"/>
      <c r="BF16" s="52"/>
    </row>
    <row r="17" spans="1:95" s="192" customFormat="1" ht="195.75" customHeight="1">
      <c r="A17" s="682"/>
      <c r="B17" s="484"/>
      <c r="C17" s="481"/>
      <c r="D17" s="481"/>
      <c r="E17" s="481"/>
      <c r="F17" s="481"/>
      <c r="G17" s="481"/>
      <c r="H17" s="680"/>
      <c r="I17" s="680"/>
      <c r="J17" s="484"/>
      <c r="K17" s="484"/>
      <c r="L17" s="484"/>
      <c r="M17" s="481"/>
      <c r="N17" s="503"/>
      <c r="O17" s="503"/>
      <c r="P17" s="503"/>
      <c r="Q17" s="503"/>
      <c r="R17" s="503"/>
      <c r="S17" s="511"/>
      <c r="T17" s="514"/>
      <c r="U17" s="511"/>
      <c r="V17" s="511"/>
      <c r="W17" s="511"/>
      <c r="X17" s="481"/>
      <c r="Y17" s="484"/>
      <c r="Z17" s="481"/>
      <c r="AA17" s="481"/>
      <c r="AB17" s="481"/>
      <c r="AC17" s="481"/>
      <c r="AD17" s="481"/>
      <c r="AE17" s="537"/>
      <c r="AF17" s="537"/>
      <c r="AG17" s="481"/>
      <c r="AH17" s="112"/>
      <c r="AI17" s="676"/>
      <c r="AJ17" s="508"/>
      <c r="AK17" s="112" t="e">
        <f>+VLOOKUP(AJ17,[9]Campos!$S$32:$T$39,2,FALSE)</f>
        <v>#N/A</v>
      </c>
      <c r="AL17" s="678"/>
      <c r="AM17" s="508"/>
      <c r="AN17" s="672"/>
      <c r="AO17" s="508"/>
      <c r="AP17" s="528"/>
      <c r="AQ17" s="674"/>
      <c r="AR17" s="289" t="s">
        <v>968</v>
      </c>
      <c r="AS17" s="289" t="s">
        <v>964</v>
      </c>
      <c r="AT17" s="665"/>
      <c r="AU17" s="665"/>
      <c r="AV17" s="669"/>
      <c r="AW17" s="670"/>
      <c r="AX17" s="481"/>
      <c r="AY17" s="665"/>
      <c r="AZ17" s="665"/>
      <c r="BA17" s="665"/>
      <c r="BB17" s="665"/>
      <c r="BC17" s="666"/>
      <c r="BD17" s="666"/>
      <c r="BE17" s="666"/>
      <c r="BF17" s="52"/>
      <c r="BG17" s="51"/>
      <c r="BH17" s="51"/>
      <c r="BI17" s="51"/>
      <c r="BJ17" s="51"/>
      <c r="BK17" s="51"/>
      <c r="BL17" s="51"/>
      <c r="BM17" s="51"/>
      <c r="BN17" s="51"/>
      <c r="BO17" s="51"/>
      <c r="BP17" s="51"/>
      <c r="BQ17" s="51"/>
      <c r="BR17" s="51"/>
      <c r="BS17" s="51"/>
      <c r="BT17" s="51"/>
      <c r="BU17" s="51"/>
      <c r="BV17" s="51"/>
      <c r="BW17" s="51"/>
      <c r="BX17" s="51"/>
      <c r="BY17" s="51"/>
      <c r="BZ17" s="51"/>
      <c r="CA17" s="51"/>
      <c r="CB17" s="51"/>
      <c r="CC17" s="51"/>
      <c r="CD17" s="51"/>
      <c r="CE17" s="51"/>
      <c r="CF17" s="51"/>
      <c r="CG17" s="51"/>
      <c r="CH17" s="51"/>
      <c r="CI17" s="51"/>
      <c r="CJ17" s="51"/>
      <c r="CK17" s="51"/>
      <c r="CL17" s="51"/>
      <c r="CM17" s="51"/>
      <c r="CN17" s="51"/>
      <c r="CO17" s="51"/>
      <c r="CP17" s="51"/>
      <c r="CQ17" s="51"/>
    </row>
    <row r="18" spans="1:95" ht="14.25" customHeight="1">
      <c r="F18" s="333"/>
      <c r="G18" s="333"/>
      <c r="H18" s="333"/>
      <c r="I18" s="333"/>
      <c r="AQ18" s="64"/>
    </row>
    <row r="19" spans="1:95" customFormat="1" ht="20.149999999999999" customHeight="1">
      <c r="A19" s="11"/>
      <c r="B19" s="11"/>
      <c r="C19" s="11"/>
      <c r="D19" s="11"/>
      <c r="E19" s="11"/>
      <c r="F19" s="11"/>
      <c r="G19" s="11"/>
      <c r="H19" s="11"/>
      <c r="I19" s="11"/>
      <c r="J19" s="11"/>
      <c r="K19" s="11"/>
      <c r="L19" s="11"/>
      <c r="M19" s="11"/>
      <c r="N19" s="11"/>
      <c r="O19" s="11"/>
      <c r="P19" s="11"/>
      <c r="Q19" s="11"/>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64"/>
      <c r="AS19" s="4"/>
      <c r="AT19" s="4"/>
      <c r="AU19" s="4"/>
      <c r="AV19" s="4"/>
      <c r="AW19" s="4"/>
      <c r="AX19" s="4"/>
      <c r="AY19" s="4"/>
      <c r="AZ19" s="4"/>
      <c r="BA19" s="4"/>
      <c r="BB19" s="4"/>
      <c r="BC19" s="4"/>
      <c r="BD19" s="4"/>
      <c r="BE19" s="4"/>
      <c r="BF19" s="4"/>
      <c r="BG19" s="4"/>
      <c r="BH19" s="4"/>
    </row>
  </sheetData>
  <sheetProtection formatCells="0" insertRows="0" deleteRows="0"/>
  <mergeCells count="139">
    <mergeCell ref="A9:A10"/>
    <mergeCell ref="B9:B10"/>
    <mergeCell ref="C9:C10"/>
    <mergeCell ref="D9:D10"/>
    <mergeCell ref="E9:E10"/>
    <mergeCell ref="F9:F10"/>
    <mergeCell ref="C1:L1"/>
    <mergeCell ref="C2:L3"/>
    <mergeCell ref="A5:AP5"/>
    <mergeCell ref="A6:Q8"/>
    <mergeCell ref="R6:W8"/>
    <mergeCell ref="X6:AG8"/>
    <mergeCell ref="AI6:AP8"/>
    <mergeCell ref="M9:N9"/>
    <mergeCell ref="O9:O10"/>
    <mergeCell ref="P9:P10"/>
    <mergeCell ref="Q9:Q10"/>
    <mergeCell ref="R9:R10"/>
    <mergeCell ref="S9:S10"/>
    <mergeCell ref="G9:G10"/>
    <mergeCell ref="H9:H10"/>
    <mergeCell ref="I9:I10"/>
    <mergeCell ref="J9:J10"/>
    <mergeCell ref="K9:K10"/>
    <mergeCell ref="L9:L10"/>
    <mergeCell ref="BB9:BB11"/>
    <mergeCell ref="AQ10:AQ11"/>
    <mergeCell ref="AR10:AR11"/>
    <mergeCell ref="AS10:AS11"/>
    <mergeCell ref="AT10:AT11"/>
    <mergeCell ref="AH9:AH10"/>
    <mergeCell ref="AI9:AI10"/>
    <mergeCell ref="AJ9:AJ10"/>
    <mergeCell ref="AK9:AK10"/>
    <mergeCell ref="AL9:AL10"/>
    <mergeCell ref="AM9:AM10"/>
    <mergeCell ref="I14:I15"/>
    <mergeCell ref="J14:J15"/>
    <mergeCell ref="K14:K15"/>
    <mergeCell ref="AV10:AV11"/>
    <mergeCell ref="AW10:AW11"/>
    <mergeCell ref="AX10:AX11"/>
    <mergeCell ref="AV12:AW12"/>
    <mergeCell ref="AV13:AW13"/>
    <mergeCell ref="A14:A15"/>
    <mergeCell ref="B14:B15"/>
    <mergeCell ref="C14:C15"/>
    <mergeCell ref="D14:D15"/>
    <mergeCell ref="E14:E15"/>
    <mergeCell ref="AN9:AN10"/>
    <mergeCell ref="AO9:AO10"/>
    <mergeCell ref="AP9:AP10"/>
    <mergeCell ref="AQ9:AW9"/>
    <mergeCell ref="AX9:BA9"/>
    <mergeCell ref="T9:T10"/>
    <mergeCell ref="U9:U10"/>
    <mergeCell ref="V9:V10"/>
    <mergeCell ref="W9:W10"/>
    <mergeCell ref="X9:X10"/>
    <mergeCell ref="Y9:AG9"/>
    <mergeCell ref="AZ14:AZ15"/>
    <mergeCell ref="BA14:BA15"/>
    <mergeCell ref="BB14:BB15"/>
    <mergeCell ref="AP14:AP15"/>
    <mergeCell ref="AQ14:AQ15"/>
    <mergeCell ref="AR14:AR15"/>
    <mergeCell ref="AS14:AS15"/>
    <mergeCell ref="AT14:AT15"/>
    <mergeCell ref="AU14:AU15"/>
    <mergeCell ref="A16:A17"/>
    <mergeCell ref="B16:B17"/>
    <mergeCell ref="C16:C17"/>
    <mergeCell ref="D16:D17"/>
    <mergeCell ref="E16:E17"/>
    <mergeCell ref="F16:F17"/>
    <mergeCell ref="AV14:AW15"/>
    <mergeCell ref="AX14:AX15"/>
    <mergeCell ref="AY14:AY15"/>
    <mergeCell ref="R14:R15"/>
    <mergeCell ref="S14:S15"/>
    <mergeCell ref="T14:T15"/>
    <mergeCell ref="U14:U15"/>
    <mergeCell ref="V14:V15"/>
    <mergeCell ref="W14:W15"/>
    <mergeCell ref="L14:L15"/>
    <mergeCell ref="M14:M15"/>
    <mergeCell ref="N14:N15"/>
    <mergeCell ref="O14:O15"/>
    <mergeCell ref="P14:P15"/>
    <mergeCell ref="Q14:Q15"/>
    <mergeCell ref="F14:F15"/>
    <mergeCell ref="G14:G15"/>
    <mergeCell ref="H14:H15"/>
    <mergeCell ref="M16:M17"/>
    <mergeCell ref="N16:N17"/>
    <mergeCell ref="O16:O17"/>
    <mergeCell ref="P16:P17"/>
    <mergeCell ref="Q16:Q17"/>
    <mergeCell ref="R16:R17"/>
    <mergeCell ref="G16:G17"/>
    <mergeCell ref="H16:H17"/>
    <mergeCell ref="I16:I17"/>
    <mergeCell ref="J16:J17"/>
    <mergeCell ref="K16:K17"/>
    <mergeCell ref="L16:L17"/>
    <mergeCell ref="Y16:Y17"/>
    <mergeCell ref="Z16:Z17"/>
    <mergeCell ref="AA16:AA17"/>
    <mergeCell ref="AB16:AB17"/>
    <mergeCell ref="AC16:AC17"/>
    <mergeCell ref="AD16:AD17"/>
    <mergeCell ref="S16:S17"/>
    <mergeCell ref="T16:T17"/>
    <mergeCell ref="U16:U17"/>
    <mergeCell ref="V16:V17"/>
    <mergeCell ref="W16:W17"/>
    <mergeCell ref="X16:X17"/>
    <mergeCell ref="AM16:AM17"/>
    <mergeCell ref="AN16:AN17"/>
    <mergeCell ref="AO16:AO17"/>
    <mergeCell ref="AP16:AP17"/>
    <mergeCell ref="AQ16:AQ17"/>
    <mergeCell ref="AT16:AT17"/>
    <mergeCell ref="AE16:AE17"/>
    <mergeCell ref="AF16:AF17"/>
    <mergeCell ref="AG16:AG17"/>
    <mergeCell ref="AI16:AI17"/>
    <mergeCell ref="AJ16:AJ17"/>
    <mergeCell ref="AL16:AL17"/>
    <mergeCell ref="BB16:BB17"/>
    <mergeCell ref="BC16:BC17"/>
    <mergeCell ref="BD16:BD17"/>
    <mergeCell ref="BE16:BE17"/>
    <mergeCell ref="AU16:AU17"/>
    <mergeCell ref="AV16:AW17"/>
    <mergeCell ref="AX16:AX17"/>
    <mergeCell ref="AY16:AY17"/>
    <mergeCell ref="AZ16:AZ17"/>
    <mergeCell ref="BA16:BA17"/>
  </mergeCells>
  <dataValidations count="2">
    <dataValidation allowBlank="1" showErrorMessage="1" promptTitle="Lista desplegable" prompt="Seleccione una Opción" sqref="B9" xr:uid="{3D6F6B81-D6CE-405A-A218-189716A57BEA}"/>
    <dataValidation allowBlank="1" showInputMessage="1" showErrorMessage="1" sqref="V12:V14 V16" xr:uid="{A12001E9-2A81-43CD-91D6-0D4B54AAC4AA}"/>
  </dataValidations>
  <pageMargins left="0.70866141732283472" right="0.70866141732283472" top="0.98425196850393704" bottom="0.74803149606299213" header="0.19685039370078741" footer="0.31496062992125984"/>
  <pageSetup scale="12" orientation="landscape" r:id="rId1"/>
  <headerFooter>
    <oddHeader>&amp;L&amp;G&amp;C
MATRIZ DE IDENTIFICACIÓN Y SEGUIMIENTO A LOS 
RIESGOS INSTITUCIONALES&amp;R]</oddHeader>
    <oddFooter>&amp;R&amp;G
&amp;9SG-FM-043.V6</oddFooter>
  </headerFooter>
  <drawing r:id="rId2"/>
  <legacyDrawing r:id="rId3"/>
  <legacyDrawingHF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62500-B538-4956-9D2B-A2F1D1FC941F}">
  <sheetPr>
    <tabColor rgb="FFFFC000"/>
  </sheetPr>
  <dimension ref="A1:BK21"/>
  <sheetViews>
    <sheetView showGridLines="0" showRuler="0" showWhiteSpace="0" zoomScale="55" zoomScaleNormal="55" zoomScaleSheetLayoutView="10" workbookViewId="0">
      <pane xSplit="9" ySplit="11" topLeftCell="J14" activePane="bottomRight" state="frozen"/>
      <selection pane="topRight" activeCell="J1" sqref="J1"/>
      <selection pane="bottomLeft" activeCell="A12" sqref="A12"/>
      <selection pane="bottomRight" activeCell="X12" sqref="A12:XFD12"/>
    </sheetView>
  </sheetViews>
  <sheetFormatPr baseColWidth="10" defaultColWidth="11.33203125" defaultRowHeight="14"/>
  <cols>
    <col min="1" max="1" width="13" style="46" customWidth="1"/>
    <col min="2" max="2" width="28.1640625" style="46" customWidth="1"/>
    <col min="3" max="3" width="21.08203125" style="46" customWidth="1"/>
    <col min="4" max="4" width="12.75" style="46" customWidth="1"/>
    <col min="5" max="5" width="12.08203125" style="46" customWidth="1"/>
    <col min="6" max="6" width="22.4140625" style="46" customWidth="1"/>
    <col min="7" max="7" width="40.1640625" style="46" customWidth="1"/>
    <col min="8" max="8" width="9.6640625" style="46" customWidth="1"/>
    <col min="9" max="9" width="14.75" style="46" customWidth="1"/>
    <col min="10" max="10" width="17.4140625" style="46" customWidth="1"/>
    <col min="11" max="11" width="13.75" style="46" customWidth="1"/>
    <col min="12" max="12" width="11.25" style="46" customWidth="1"/>
    <col min="13" max="13" width="28.75" style="46" customWidth="1"/>
    <col min="14" max="14" width="22.5" style="46" customWidth="1"/>
    <col min="15" max="15" width="26.1640625" style="46" customWidth="1"/>
    <col min="16" max="16" width="10.75" style="46" customWidth="1"/>
    <col min="17" max="17" width="18.5" style="46" customWidth="1"/>
    <col min="18" max="18" width="6.9140625" style="46" customWidth="1"/>
    <col min="19" max="19" width="5" style="46" hidden="1" customWidth="1"/>
    <col min="20" max="20" width="10.6640625" style="46" customWidth="1"/>
    <col min="21" max="22" width="4.33203125" style="46" hidden="1" customWidth="1"/>
    <col min="23" max="23" width="19.25" style="46" customWidth="1"/>
    <col min="24" max="24" width="36.9140625" style="46" customWidth="1"/>
    <col min="25" max="25" width="17.83203125" style="46" customWidth="1"/>
    <col min="26" max="26" width="10.33203125" style="46" hidden="1" customWidth="1"/>
    <col min="27" max="27" width="20.6640625" style="46" customWidth="1"/>
    <col min="28" max="28" width="15.83203125" style="46" customWidth="1"/>
    <col min="29" max="30" width="14.08203125" style="46" customWidth="1"/>
    <col min="31" max="31" width="12" style="46" customWidth="1"/>
    <col min="32" max="32" width="11" style="46" customWidth="1"/>
    <col min="33" max="33" width="12.08203125" style="46" customWidth="1"/>
    <col min="34" max="34" width="10.33203125" style="46" hidden="1" customWidth="1"/>
    <col min="35" max="35" width="10.9140625" style="46" hidden="1" customWidth="1"/>
    <col min="36" max="36" width="9.33203125" style="46" hidden="1" customWidth="1"/>
    <col min="37" max="37" width="5.33203125" style="46" hidden="1" customWidth="1"/>
    <col min="38" max="38" width="7.25" style="46" customWidth="1"/>
    <col min="39" max="39" width="13.33203125" style="46" customWidth="1"/>
    <col min="40" max="40" width="7.25" style="46" hidden="1" customWidth="1"/>
    <col min="41" max="41" width="11.25" style="46" hidden="1" customWidth="1"/>
    <col min="42" max="42" width="15.25" style="46" customWidth="1"/>
    <col min="43" max="43" width="21" style="46" customWidth="1"/>
    <col min="44" max="44" width="32.9140625" style="46" customWidth="1"/>
    <col min="45" max="45" width="25.9140625" style="46" customWidth="1"/>
    <col min="46" max="46" width="16.25" style="46" customWidth="1"/>
    <col min="47" max="47" width="15.08203125" style="46" customWidth="1"/>
    <col min="48" max="48" width="11.33203125" style="46"/>
    <col min="49" max="49" width="15.08203125" style="46" customWidth="1"/>
    <col min="50" max="53" width="26.33203125" style="46" customWidth="1"/>
    <col min="54" max="54" width="15.33203125" style="46" customWidth="1"/>
    <col min="55" max="16384" width="11.33203125" style="11"/>
  </cols>
  <sheetData>
    <row r="1" spans="1:63" customFormat="1" ht="26.25" customHeight="1">
      <c r="A1" s="341"/>
      <c r="B1" s="1"/>
      <c r="C1" s="444" t="s">
        <v>166</v>
      </c>
      <c r="D1" s="444"/>
      <c r="E1" s="444"/>
      <c r="F1" s="444"/>
      <c r="G1" s="444"/>
      <c r="H1" s="444"/>
      <c r="I1" s="444"/>
      <c r="J1" s="444"/>
      <c r="K1" s="444"/>
      <c r="L1" s="444"/>
      <c r="M1" s="2" t="s">
        <v>0</v>
      </c>
      <c r="N1" s="81" t="s">
        <v>173</v>
      </c>
      <c r="O1" s="64"/>
      <c r="P1" s="64"/>
      <c r="Q1" s="64"/>
      <c r="R1" s="64"/>
      <c r="S1" s="64"/>
      <c r="T1" s="64"/>
      <c r="U1" s="64"/>
      <c r="V1" s="64"/>
      <c r="W1" s="64"/>
      <c r="X1" s="64"/>
      <c r="Y1" s="64"/>
      <c r="Z1" s="64"/>
      <c r="AA1" s="64"/>
      <c r="AB1" s="64"/>
      <c r="AC1" s="64"/>
      <c r="AD1" s="64"/>
      <c r="AE1" s="64"/>
      <c r="AF1" s="64"/>
      <c r="AG1" s="64"/>
      <c r="AH1" s="16"/>
      <c r="AI1" s="16"/>
      <c r="AJ1" s="16"/>
      <c r="AK1" s="16"/>
      <c r="AL1" s="16"/>
      <c r="AM1" s="16"/>
      <c r="AN1" s="16"/>
      <c r="AO1" s="16"/>
      <c r="AP1" s="16"/>
      <c r="AQ1" s="16"/>
      <c r="AR1" s="16"/>
      <c r="AS1" s="16"/>
      <c r="AT1" s="16"/>
      <c r="AU1" s="16"/>
      <c r="AV1" s="16"/>
      <c r="AW1" s="16"/>
      <c r="AX1" s="16"/>
      <c r="AY1" s="16"/>
      <c r="AZ1" s="16"/>
      <c r="BA1" s="16"/>
      <c r="BB1" s="16"/>
    </row>
    <row r="2" spans="1:63" customFormat="1" ht="22.5" customHeight="1">
      <c r="A2" s="342"/>
      <c r="B2" s="5"/>
      <c r="C2" s="444" t="s">
        <v>172</v>
      </c>
      <c r="D2" s="444"/>
      <c r="E2" s="444"/>
      <c r="F2" s="444"/>
      <c r="G2" s="444"/>
      <c r="H2" s="444"/>
      <c r="I2" s="444"/>
      <c r="J2" s="444"/>
      <c r="K2" s="444"/>
      <c r="L2" s="444"/>
      <c r="M2" s="2" t="s">
        <v>1</v>
      </c>
      <c r="N2" s="3">
        <v>1</v>
      </c>
      <c r="O2" s="64"/>
      <c r="P2" s="64"/>
      <c r="Q2" s="64"/>
      <c r="R2" s="64"/>
      <c r="S2" s="64"/>
      <c r="T2" s="64"/>
      <c r="U2" s="64"/>
      <c r="V2" s="64"/>
      <c r="W2" s="64"/>
      <c r="X2" s="64"/>
      <c r="Y2" s="64"/>
      <c r="Z2" s="64"/>
      <c r="AA2" s="64"/>
      <c r="AB2" s="64"/>
      <c r="AC2" s="64"/>
      <c r="AD2" s="64"/>
      <c r="AE2" s="64"/>
      <c r="AF2" s="64"/>
      <c r="AG2" s="64"/>
      <c r="AH2" s="16"/>
      <c r="AI2" s="16"/>
      <c r="AJ2" s="16"/>
      <c r="AK2" s="16"/>
      <c r="AL2" s="16"/>
      <c r="AM2" s="16"/>
      <c r="AN2" s="16"/>
      <c r="AO2" s="16"/>
      <c r="AP2" s="16"/>
      <c r="AQ2" s="16"/>
      <c r="AR2" s="16"/>
      <c r="AS2" s="16"/>
      <c r="AT2" s="16"/>
      <c r="AU2" s="16"/>
      <c r="AV2" s="16"/>
      <c r="AW2" s="16"/>
      <c r="AX2" s="16"/>
      <c r="AY2" s="16"/>
      <c r="AZ2" s="16"/>
      <c r="BA2" s="16"/>
      <c r="BB2" s="16"/>
    </row>
    <row r="3" spans="1:63" customFormat="1" ht="22.5" customHeight="1">
      <c r="A3" s="343"/>
      <c r="B3" s="6"/>
      <c r="C3" s="444"/>
      <c r="D3" s="444"/>
      <c r="E3" s="444"/>
      <c r="F3" s="444"/>
      <c r="G3" s="444"/>
      <c r="H3" s="444"/>
      <c r="I3" s="444"/>
      <c r="J3" s="444"/>
      <c r="K3" s="444"/>
      <c r="L3" s="444"/>
      <c r="M3" s="2" t="s">
        <v>2</v>
      </c>
      <c r="N3" s="7">
        <v>45257</v>
      </c>
      <c r="O3" s="64"/>
      <c r="P3" s="64"/>
      <c r="Q3" s="64"/>
      <c r="R3" s="64"/>
      <c r="S3" s="64"/>
      <c r="T3" s="64"/>
      <c r="U3" s="64"/>
      <c r="V3" s="64"/>
      <c r="W3" s="64"/>
      <c r="X3" s="64"/>
      <c r="Y3" s="64"/>
      <c r="Z3" s="64"/>
      <c r="AA3" s="64"/>
      <c r="AB3" s="64"/>
      <c r="AC3" s="64"/>
      <c r="AD3" s="64"/>
      <c r="AE3" s="64"/>
      <c r="AF3" s="64"/>
      <c r="AG3" s="64"/>
      <c r="AH3" s="16"/>
      <c r="AI3" s="16"/>
      <c r="AJ3" s="16"/>
      <c r="AK3" s="16"/>
      <c r="AL3" s="16"/>
      <c r="AM3" s="16"/>
      <c r="AN3" s="16"/>
      <c r="AO3" s="16"/>
      <c r="AP3" s="16"/>
      <c r="AQ3" s="16"/>
      <c r="AR3" s="16"/>
      <c r="AS3" s="16"/>
      <c r="AT3" s="16"/>
      <c r="AU3" s="16"/>
      <c r="AV3" s="16"/>
      <c r="AW3" s="16"/>
      <c r="AX3" s="16"/>
      <c r="AY3" s="16"/>
      <c r="AZ3" s="16"/>
      <c r="BA3" s="16"/>
      <c r="BB3" s="16"/>
    </row>
    <row r="4" spans="1:63" s="8" customFormat="1" ht="49.5" customHeight="1">
      <c r="A4" s="73"/>
      <c r="B4" s="73"/>
      <c r="C4" s="73"/>
      <c r="D4" s="73"/>
      <c r="E4" s="73"/>
      <c r="F4" s="73"/>
      <c r="G4" s="73"/>
      <c r="H4" s="73"/>
      <c r="I4" s="73"/>
      <c r="J4" s="73"/>
      <c r="K4" s="73"/>
      <c r="L4" s="73"/>
      <c r="M4" s="73"/>
      <c r="N4" s="121"/>
      <c r="O4" s="73"/>
      <c r="P4" s="73"/>
      <c r="Q4" s="73"/>
      <c r="R4" s="73"/>
      <c r="S4" s="73"/>
      <c r="T4" s="73"/>
      <c r="U4" s="73"/>
      <c r="V4" s="73"/>
      <c r="W4" s="73"/>
      <c r="X4" s="648"/>
      <c r="Y4" s="648"/>
      <c r="Z4" s="648"/>
      <c r="AA4" s="648"/>
      <c r="AB4" s="648"/>
      <c r="AC4" s="74"/>
      <c r="AD4" s="74"/>
      <c r="AE4" s="74"/>
      <c r="AF4" s="74"/>
      <c r="AG4" s="74"/>
      <c r="AH4" s="73"/>
      <c r="AI4" s="73"/>
      <c r="AJ4" s="73"/>
      <c r="AK4" s="73"/>
      <c r="AL4" s="73"/>
      <c r="AM4" s="73"/>
      <c r="AN4" s="73"/>
      <c r="AO4" s="73"/>
      <c r="AP4" s="73"/>
      <c r="AQ4" s="73"/>
      <c r="AR4" s="73"/>
      <c r="AS4" s="73"/>
      <c r="AT4" s="73"/>
      <c r="AU4" s="73"/>
      <c r="AV4" s="73"/>
      <c r="AW4" s="73"/>
      <c r="AX4" s="73"/>
      <c r="AY4" s="73"/>
      <c r="AZ4" s="73"/>
      <c r="BA4" s="73"/>
      <c r="BB4" s="73"/>
    </row>
    <row r="5" spans="1:63" customFormat="1" ht="51" customHeight="1" thickBot="1">
      <c r="A5" s="792" t="s">
        <v>198</v>
      </c>
      <c r="B5" s="793"/>
      <c r="C5" s="793"/>
      <c r="D5" s="793"/>
      <c r="E5" s="793"/>
      <c r="F5" s="793"/>
      <c r="G5" s="793"/>
      <c r="H5" s="793"/>
      <c r="I5" s="793"/>
      <c r="J5" s="793"/>
      <c r="K5" s="793"/>
      <c r="L5" s="793"/>
      <c r="M5" s="793"/>
      <c r="N5" s="793"/>
      <c r="O5" s="793"/>
      <c r="P5" s="793"/>
      <c r="Q5" s="793"/>
      <c r="R5" s="793"/>
      <c r="S5" s="793"/>
      <c r="T5" s="793"/>
      <c r="U5" s="793"/>
      <c r="V5" s="793"/>
      <c r="W5" s="793"/>
      <c r="X5" s="793"/>
      <c r="Y5" s="793"/>
      <c r="Z5" s="793"/>
      <c r="AA5" s="793"/>
      <c r="AB5" s="793"/>
      <c r="AC5" s="793"/>
      <c r="AD5" s="793"/>
      <c r="AE5" s="793"/>
      <c r="AF5" s="793"/>
      <c r="AG5" s="793"/>
      <c r="AH5" s="793"/>
      <c r="AI5" s="793"/>
      <c r="AJ5" s="793"/>
      <c r="AK5" s="793"/>
      <c r="AL5" s="793"/>
      <c r="AM5" s="793"/>
      <c r="AN5" s="793"/>
      <c r="AO5" s="793"/>
      <c r="AP5" s="793"/>
      <c r="AQ5" s="64"/>
      <c r="AR5" s="64"/>
      <c r="AS5" s="64"/>
      <c r="AT5" s="64"/>
      <c r="AU5" s="64"/>
      <c r="AV5" s="64"/>
      <c r="AW5" s="64"/>
      <c r="AX5" s="64"/>
      <c r="AY5" s="64"/>
      <c r="AZ5" s="64"/>
      <c r="BA5" s="64"/>
      <c r="BB5" s="64"/>
      <c r="BC5" s="4"/>
      <c r="BD5" s="4"/>
      <c r="BE5" s="4"/>
      <c r="BF5" s="4"/>
      <c r="BG5" s="4"/>
      <c r="BH5" s="4"/>
      <c r="BI5" s="4"/>
      <c r="BJ5" s="4"/>
      <c r="BK5" s="4"/>
    </row>
    <row r="6" spans="1:63" s="9" customFormat="1" ht="12.75" customHeight="1">
      <c r="A6" s="454" t="s">
        <v>167</v>
      </c>
      <c r="B6" s="446"/>
      <c r="C6" s="446"/>
      <c r="D6" s="446"/>
      <c r="E6" s="446"/>
      <c r="F6" s="446"/>
      <c r="G6" s="446"/>
      <c r="H6" s="446"/>
      <c r="I6" s="446"/>
      <c r="J6" s="446"/>
      <c r="K6" s="446"/>
      <c r="L6" s="446"/>
      <c r="M6" s="446"/>
      <c r="N6" s="446"/>
      <c r="O6" s="446"/>
      <c r="P6" s="446"/>
      <c r="Q6" s="447"/>
      <c r="R6" s="445" t="s">
        <v>168</v>
      </c>
      <c r="S6" s="446"/>
      <c r="T6" s="446"/>
      <c r="U6" s="446"/>
      <c r="V6" s="446"/>
      <c r="W6" s="447"/>
      <c r="X6" s="445" t="s">
        <v>3</v>
      </c>
      <c r="Y6" s="446"/>
      <c r="Z6" s="446"/>
      <c r="AA6" s="446"/>
      <c r="AB6" s="446"/>
      <c r="AC6" s="446"/>
      <c r="AD6" s="446"/>
      <c r="AE6" s="446"/>
      <c r="AF6" s="446"/>
      <c r="AG6" s="447"/>
      <c r="AH6" s="440" t="s">
        <v>169</v>
      </c>
      <c r="AI6" s="440"/>
      <c r="AJ6" s="440"/>
      <c r="AK6" s="440"/>
      <c r="AL6" s="440"/>
      <c r="AM6" s="440"/>
      <c r="AN6" s="440"/>
      <c r="AO6" s="440"/>
      <c r="AP6" s="441"/>
      <c r="AQ6" s="10"/>
      <c r="AR6" s="70"/>
      <c r="AS6" s="70"/>
      <c r="AT6" s="70"/>
      <c r="AU6" s="70"/>
      <c r="AV6" s="70"/>
      <c r="AW6" s="70"/>
      <c r="AX6" s="70"/>
      <c r="AY6" s="70"/>
      <c r="AZ6" s="70"/>
      <c r="BA6" s="70"/>
      <c r="BB6" s="70"/>
    </row>
    <row r="7" spans="1:63" ht="15.75" customHeight="1">
      <c r="A7" s="455"/>
      <c r="B7" s="449"/>
      <c r="C7" s="449"/>
      <c r="D7" s="449"/>
      <c r="E7" s="449"/>
      <c r="F7" s="449"/>
      <c r="G7" s="449"/>
      <c r="H7" s="449"/>
      <c r="I7" s="449"/>
      <c r="J7" s="449"/>
      <c r="K7" s="449"/>
      <c r="L7" s="449"/>
      <c r="M7" s="449"/>
      <c r="N7" s="449"/>
      <c r="O7" s="449"/>
      <c r="P7" s="449"/>
      <c r="Q7" s="450"/>
      <c r="R7" s="448"/>
      <c r="S7" s="449"/>
      <c r="T7" s="449"/>
      <c r="U7" s="449"/>
      <c r="V7" s="449"/>
      <c r="W7" s="450"/>
      <c r="X7" s="448"/>
      <c r="Y7" s="449"/>
      <c r="Z7" s="449"/>
      <c r="AA7" s="449"/>
      <c r="AB7" s="449"/>
      <c r="AC7" s="449"/>
      <c r="AD7" s="449"/>
      <c r="AE7" s="449"/>
      <c r="AF7" s="449"/>
      <c r="AG7" s="450"/>
      <c r="AH7" s="442"/>
      <c r="AI7" s="442"/>
      <c r="AJ7" s="442"/>
      <c r="AK7" s="442"/>
      <c r="AL7" s="442"/>
      <c r="AM7" s="442"/>
      <c r="AN7" s="442"/>
      <c r="AO7" s="442"/>
      <c r="AP7" s="443"/>
      <c r="AQ7" s="10"/>
    </row>
    <row r="8" spans="1:63" ht="29.25" customHeight="1" thickBot="1">
      <c r="A8" s="555"/>
      <c r="B8" s="553"/>
      <c r="C8" s="553"/>
      <c r="D8" s="553"/>
      <c r="E8" s="553"/>
      <c r="F8" s="553"/>
      <c r="G8" s="553"/>
      <c r="H8" s="553"/>
      <c r="I8" s="553"/>
      <c r="J8" s="553"/>
      <c r="K8" s="553"/>
      <c r="L8" s="553"/>
      <c r="M8" s="553"/>
      <c r="N8" s="553"/>
      <c r="O8" s="553"/>
      <c r="P8" s="553"/>
      <c r="Q8" s="554"/>
      <c r="R8" s="552"/>
      <c r="S8" s="553"/>
      <c r="T8" s="553"/>
      <c r="U8" s="553"/>
      <c r="V8" s="553"/>
      <c r="W8" s="554"/>
      <c r="X8" s="552"/>
      <c r="Y8" s="553"/>
      <c r="Z8" s="553"/>
      <c r="AA8" s="553"/>
      <c r="AB8" s="553"/>
      <c r="AC8" s="553"/>
      <c r="AD8" s="553"/>
      <c r="AE8" s="553"/>
      <c r="AF8" s="553"/>
      <c r="AG8" s="554"/>
      <c r="AH8" s="573"/>
      <c r="AI8" s="573"/>
      <c r="AJ8" s="573"/>
      <c r="AK8" s="573"/>
      <c r="AL8" s="573"/>
      <c r="AM8" s="573"/>
      <c r="AN8" s="573"/>
      <c r="AO8" s="573"/>
      <c r="AP8" s="574"/>
    </row>
    <row r="9" spans="1:63" ht="51" customHeight="1" thickBot="1">
      <c r="A9" s="788" t="s">
        <v>4</v>
      </c>
      <c r="B9" s="780" t="s">
        <v>5</v>
      </c>
      <c r="C9" s="779" t="s">
        <v>6</v>
      </c>
      <c r="D9" s="780" t="s">
        <v>7</v>
      </c>
      <c r="E9" s="771" t="s">
        <v>8</v>
      </c>
      <c r="F9" s="715" t="s">
        <v>9</v>
      </c>
      <c r="G9" s="771" t="s">
        <v>10</v>
      </c>
      <c r="H9" s="780" t="s">
        <v>158</v>
      </c>
      <c r="I9" s="783" t="s">
        <v>11</v>
      </c>
      <c r="J9" s="770" t="s">
        <v>12</v>
      </c>
      <c r="K9" s="771" t="s">
        <v>199</v>
      </c>
      <c r="L9" s="771" t="s">
        <v>13</v>
      </c>
      <c r="M9" s="778" t="s">
        <v>14</v>
      </c>
      <c r="N9" s="779"/>
      <c r="O9" s="771" t="s">
        <v>22</v>
      </c>
      <c r="P9" s="780" t="s">
        <v>23</v>
      </c>
      <c r="Q9" s="778" t="s">
        <v>24</v>
      </c>
      <c r="R9" s="772" t="s">
        <v>15</v>
      </c>
      <c r="S9" s="704" t="s">
        <v>17</v>
      </c>
      <c r="T9" s="772" t="s">
        <v>16</v>
      </c>
      <c r="U9" s="704" t="s">
        <v>17</v>
      </c>
      <c r="V9" s="773" t="s">
        <v>148</v>
      </c>
      <c r="W9" s="774" t="s">
        <v>18</v>
      </c>
      <c r="X9" s="757" t="s">
        <v>19</v>
      </c>
      <c r="Y9" s="776" t="s">
        <v>20</v>
      </c>
      <c r="Z9" s="776"/>
      <c r="AA9" s="776"/>
      <c r="AB9" s="776"/>
      <c r="AC9" s="776"/>
      <c r="AD9" s="776"/>
      <c r="AE9" s="776"/>
      <c r="AF9" s="776"/>
      <c r="AG9" s="777"/>
      <c r="AH9" s="786" t="s">
        <v>15</v>
      </c>
      <c r="AI9" s="722" t="s">
        <v>145</v>
      </c>
      <c r="AJ9" s="722" t="s">
        <v>142</v>
      </c>
      <c r="AK9" s="724" t="s">
        <v>149</v>
      </c>
      <c r="AL9" s="695" t="s">
        <v>146</v>
      </c>
      <c r="AM9" s="695" t="s">
        <v>165</v>
      </c>
      <c r="AN9" s="695" t="s">
        <v>147</v>
      </c>
      <c r="AO9" s="695" t="s">
        <v>165</v>
      </c>
      <c r="AP9" s="699" t="s">
        <v>150</v>
      </c>
      <c r="AQ9" s="642" t="s">
        <v>171</v>
      </c>
      <c r="AR9" s="643"/>
      <c r="AS9" s="643"/>
      <c r="AT9" s="643"/>
      <c r="AU9" s="643"/>
      <c r="AV9" s="643"/>
      <c r="AW9" s="645"/>
      <c r="AX9" s="642" t="s">
        <v>170</v>
      </c>
      <c r="AY9" s="643"/>
      <c r="AZ9" s="643"/>
      <c r="BA9" s="643"/>
      <c r="BB9" s="716" t="s">
        <v>41</v>
      </c>
    </row>
    <row r="10" spans="1:63" ht="63.75" customHeight="1" thickBot="1">
      <c r="A10" s="789"/>
      <c r="B10" s="729"/>
      <c r="C10" s="790"/>
      <c r="D10" s="729"/>
      <c r="E10" s="730"/>
      <c r="F10" s="791"/>
      <c r="G10" s="730"/>
      <c r="H10" s="729"/>
      <c r="I10" s="784"/>
      <c r="J10" s="757"/>
      <c r="K10" s="715"/>
      <c r="L10" s="715"/>
      <c r="M10" s="72" t="s">
        <v>21</v>
      </c>
      <c r="N10" s="72" t="s">
        <v>200</v>
      </c>
      <c r="O10" s="715"/>
      <c r="P10" s="729"/>
      <c r="Q10" s="781"/>
      <c r="R10" s="702"/>
      <c r="S10" s="782" t="s">
        <v>17</v>
      </c>
      <c r="T10" s="702"/>
      <c r="U10" s="704"/>
      <c r="V10" s="706"/>
      <c r="W10" s="708"/>
      <c r="X10" s="775"/>
      <c r="Y10" s="67" t="s">
        <v>25</v>
      </c>
      <c r="Z10" s="68" t="s">
        <v>26</v>
      </c>
      <c r="AA10" s="67" t="s">
        <v>27</v>
      </c>
      <c r="AB10" s="71" t="s">
        <v>26</v>
      </c>
      <c r="AC10" s="71" t="s">
        <v>162</v>
      </c>
      <c r="AD10" s="71" t="s">
        <v>163</v>
      </c>
      <c r="AE10" s="67" t="s">
        <v>201</v>
      </c>
      <c r="AF10" s="67" t="s">
        <v>28</v>
      </c>
      <c r="AG10" s="69" t="s">
        <v>29</v>
      </c>
      <c r="AH10" s="787"/>
      <c r="AI10" s="723"/>
      <c r="AJ10" s="723"/>
      <c r="AK10" s="725"/>
      <c r="AL10" s="696"/>
      <c r="AM10" s="696"/>
      <c r="AN10" s="696"/>
      <c r="AO10" s="696"/>
      <c r="AP10" s="700"/>
      <c r="AQ10" s="719" t="s">
        <v>30</v>
      </c>
      <c r="AR10" s="689" t="s">
        <v>31</v>
      </c>
      <c r="AS10" s="689" t="s">
        <v>32</v>
      </c>
      <c r="AT10" s="689" t="s">
        <v>33</v>
      </c>
      <c r="AU10" s="66" t="s">
        <v>34</v>
      </c>
      <c r="AV10" s="689" t="s">
        <v>35</v>
      </c>
      <c r="AW10" s="689" t="s">
        <v>36</v>
      </c>
      <c r="AX10" s="689" t="s">
        <v>37</v>
      </c>
      <c r="AY10" s="65" t="s">
        <v>38</v>
      </c>
      <c r="AZ10" s="65" t="s">
        <v>39</v>
      </c>
      <c r="BA10" s="65" t="s">
        <v>40</v>
      </c>
      <c r="BB10" s="717"/>
      <c r="BF10" s="12"/>
    </row>
    <row r="11" spans="1:63" ht="0.75" customHeight="1">
      <c r="J11" s="344"/>
      <c r="N11" s="122"/>
      <c r="O11" s="102"/>
      <c r="P11" s="102"/>
      <c r="Q11" s="102"/>
      <c r="R11" s="94"/>
      <c r="S11" s="95"/>
      <c r="T11" s="96"/>
      <c r="U11" s="704"/>
      <c r="V11" s="97"/>
      <c r="W11" s="97"/>
      <c r="X11" s="98"/>
      <c r="Y11" s="99"/>
      <c r="Z11" s="100"/>
      <c r="AA11" s="100"/>
      <c r="AB11" s="100"/>
      <c r="AC11" s="100"/>
      <c r="AH11" s="101"/>
      <c r="AI11" s="101"/>
      <c r="AJ11" s="101"/>
      <c r="AK11" s="102"/>
      <c r="AL11" s="102"/>
      <c r="AM11" s="102"/>
      <c r="AN11" s="102"/>
      <c r="AO11" s="102"/>
      <c r="AP11" s="103"/>
      <c r="AQ11" s="785"/>
      <c r="AR11" s="769"/>
      <c r="AS11" s="769"/>
      <c r="AT11" s="769"/>
      <c r="AU11" s="105"/>
      <c r="AV11" s="769"/>
      <c r="AW11" s="769"/>
      <c r="AX11" s="769"/>
      <c r="AY11" s="104"/>
      <c r="AZ11" s="104"/>
      <c r="BA11" s="104"/>
      <c r="BB11" s="717"/>
      <c r="BF11" s="12"/>
    </row>
    <row r="12" spans="1:63" s="345" customFormat="1" ht="240" customHeight="1">
      <c r="A12" s="767" t="s">
        <v>1060</v>
      </c>
      <c r="B12" s="474" t="s">
        <v>53</v>
      </c>
      <c r="C12" s="474" t="s">
        <v>988</v>
      </c>
      <c r="D12" s="474" t="s">
        <v>60</v>
      </c>
      <c r="E12" s="474" t="s">
        <v>60</v>
      </c>
      <c r="F12" s="474" t="s">
        <v>989</v>
      </c>
      <c r="G12" s="474" t="s">
        <v>990</v>
      </c>
      <c r="H12" s="474" t="s">
        <v>159</v>
      </c>
      <c r="I12" s="474" t="s">
        <v>205</v>
      </c>
      <c r="J12" s="758" t="s">
        <v>991</v>
      </c>
      <c r="K12" s="758" t="s">
        <v>991</v>
      </c>
      <c r="L12" s="758" t="s">
        <v>271</v>
      </c>
      <c r="M12" s="474" t="s">
        <v>992</v>
      </c>
      <c r="N12" s="665" t="s">
        <v>993</v>
      </c>
      <c r="O12" s="665" t="s">
        <v>994</v>
      </c>
      <c r="P12" s="665" t="s">
        <v>74</v>
      </c>
      <c r="Q12" s="665" t="s">
        <v>995</v>
      </c>
      <c r="R12" s="665" t="s">
        <v>42</v>
      </c>
      <c r="S12" s="760">
        <f>VLOOKUP(R12,[10]Campos!$H$11:$Q$37,3,FALSE)</f>
        <v>52</v>
      </c>
      <c r="T12" s="765" t="s">
        <v>96</v>
      </c>
      <c r="U12" s="760">
        <f>VLOOKUP(Selección1,[10]Campos!$K$11:$M$37,2,FALSE)</f>
        <v>3</v>
      </c>
      <c r="V12" s="760">
        <f>+S12+U12</f>
        <v>55</v>
      </c>
      <c r="W12" s="760" t="str">
        <f>+VLOOKUP(V12,[10]Campos!$M$11:$N$37,2,FALSE)</f>
        <v>3 - Zona de riesgo Moderada</v>
      </c>
      <c r="X12" s="348" t="s">
        <v>996</v>
      </c>
      <c r="Y12" s="117" t="s">
        <v>118</v>
      </c>
      <c r="Z12" s="118"/>
      <c r="AA12" s="118" t="s">
        <v>43</v>
      </c>
      <c r="AB12" s="118">
        <f>VLOOKUP(AA12,[10]Campos!$D$66:$E$67,2,FALSE)</f>
        <v>0.15</v>
      </c>
      <c r="AC12" s="118">
        <f>+Z12+AB12</f>
        <v>0.15</v>
      </c>
      <c r="AD12" s="118">
        <f>+IF(Y12="Correctivo",'Inspección, Control y Gestión S'!AC12+0.1,'Inspección, Control y Gestión S'!AC12*0)</f>
        <v>0</v>
      </c>
      <c r="AE12" s="119" t="s">
        <v>44</v>
      </c>
      <c r="AF12" s="119" t="s">
        <v>126</v>
      </c>
      <c r="AG12" s="118" t="s">
        <v>129</v>
      </c>
      <c r="AH12" s="760" t="s">
        <v>135</v>
      </c>
      <c r="AI12" s="760">
        <v>0.2</v>
      </c>
      <c r="AJ12" s="760" t="s">
        <v>96</v>
      </c>
      <c r="AK12" s="247">
        <f>+VLOOKUP(AJ12,[10]Campos!$S$32:$T$39,2,FALSE)</f>
        <v>0.6</v>
      </c>
      <c r="AL12" s="349">
        <f>+AI12-(AI12*AC12)</f>
        <v>0.17</v>
      </c>
      <c r="AM12" s="247" t="str">
        <f>+VLOOKUP(AL12,[10]Campos!$W$23:$X$122,2,TRUE)</f>
        <v>Muy Baja - 20%</v>
      </c>
      <c r="AN12" s="350">
        <f>+IF(Y12="Correctivo",AK12*AD12,AK12*1)</f>
        <v>0.6</v>
      </c>
      <c r="AO12" s="247" t="str">
        <f>+VLOOKUP(AN12,[10]Campos!$W$22:$Y$122,3,TRUE)</f>
        <v>3 Moderado</v>
      </c>
      <c r="AP12" s="761" t="s">
        <v>97</v>
      </c>
      <c r="AQ12" s="768" t="str">
        <f>+VLOOKUP(AP12,[10]Campos!K100:L106,2,FALSE)</f>
        <v>Reducir el riesgo</v>
      </c>
      <c r="AR12" s="289" t="s">
        <v>997</v>
      </c>
      <c r="AS12" s="247" t="s">
        <v>998</v>
      </c>
      <c r="AT12" s="117" t="s">
        <v>999</v>
      </c>
      <c r="AU12" s="117" t="s">
        <v>157</v>
      </c>
      <c r="AV12" s="288" t="s">
        <v>1000</v>
      </c>
      <c r="AW12" s="288" t="s">
        <v>1001</v>
      </c>
      <c r="AX12" s="474" t="s">
        <v>1002</v>
      </c>
      <c r="AY12" s="474" t="s">
        <v>1003</v>
      </c>
      <c r="AZ12" s="758" t="s">
        <v>1004</v>
      </c>
      <c r="BA12" s="758" t="s">
        <v>1005</v>
      </c>
      <c r="BB12" s="474" t="s">
        <v>1006</v>
      </c>
      <c r="BF12" s="52"/>
    </row>
    <row r="13" spans="1:63" s="345" customFormat="1" ht="162.5" customHeight="1">
      <c r="A13" s="767"/>
      <c r="B13" s="474"/>
      <c r="C13" s="474"/>
      <c r="D13" s="474"/>
      <c r="E13" s="474"/>
      <c r="F13" s="474"/>
      <c r="G13" s="474"/>
      <c r="H13" s="474"/>
      <c r="I13" s="474"/>
      <c r="J13" s="758"/>
      <c r="K13" s="758"/>
      <c r="L13" s="758"/>
      <c r="M13" s="474"/>
      <c r="N13" s="665"/>
      <c r="O13" s="665"/>
      <c r="P13" s="665"/>
      <c r="Q13" s="665"/>
      <c r="R13" s="665"/>
      <c r="S13" s="760"/>
      <c r="T13" s="765"/>
      <c r="U13" s="760"/>
      <c r="V13" s="760"/>
      <c r="W13" s="760"/>
      <c r="X13" s="348" t="s">
        <v>1007</v>
      </c>
      <c r="Y13" s="117" t="s">
        <v>119</v>
      </c>
      <c r="Z13" s="118"/>
      <c r="AA13" s="118" t="s">
        <v>43</v>
      </c>
      <c r="AB13" s="118">
        <f>VLOOKUP(AA13,[10]Campos!$D$66:$E$67,2,FALSE)</f>
        <v>0.15</v>
      </c>
      <c r="AC13" s="118">
        <f>+Z13+AB13</f>
        <v>0.15</v>
      </c>
      <c r="AD13" s="118">
        <f>+IF(Y13="Correctivo",'Inspección, Control y Gestión S'!AC13+0.1,'Inspección, Control y Gestión S'!AC13*0)</f>
        <v>0</v>
      </c>
      <c r="AE13" s="119" t="s">
        <v>44</v>
      </c>
      <c r="AF13" s="119" t="s">
        <v>126</v>
      </c>
      <c r="AG13" s="118" t="s">
        <v>129</v>
      </c>
      <c r="AH13" s="760"/>
      <c r="AI13" s="760"/>
      <c r="AJ13" s="760"/>
      <c r="AK13" s="247" t="e">
        <f>+VLOOKUP(AJ13,[10]Campos!$S$32:$T$39,2,FALSE)</f>
        <v>#N/A</v>
      </c>
      <c r="AL13" s="349">
        <f>+[10]Campos!K112</f>
        <v>0.14450000000000002</v>
      </c>
      <c r="AM13" s="247" t="str">
        <f>+VLOOKUP(AL13,[10]Campos!$W$23:$X$122,2,TRUE)</f>
        <v>Muy Baja - 20%</v>
      </c>
      <c r="AN13" s="350">
        <f>+[10]Campos!L112</f>
        <v>0.6</v>
      </c>
      <c r="AO13" s="247" t="str">
        <f>+VLOOKUP(AN13,[10]Campos!$W$22:$Y$122,3,TRUE)</f>
        <v>3 Moderado</v>
      </c>
      <c r="AP13" s="761"/>
      <c r="AQ13" s="768"/>
      <c r="AR13" s="289" t="s">
        <v>1008</v>
      </c>
      <c r="AS13" s="247" t="s">
        <v>1009</v>
      </c>
      <c r="AT13" s="117" t="s">
        <v>999</v>
      </c>
      <c r="AU13" s="117" t="s">
        <v>157</v>
      </c>
      <c r="AV13" s="288" t="s">
        <v>1010</v>
      </c>
      <c r="AW13" s="288" t="s">
        <v>1011</v>
      </c>
      <c r="AX13" s="758"/>
      <c r="AY13" s="758"/>
      <c r="AZ13" s="758"/>
      <c r="BA13" s="758"/>
      <c r="BB13" s="474"/>
      <c r="BF13" s="52"/>
    </row>
    <row r="14" spans="1:63" s="345" customFormat="1" ht="121.5" customHeight="1">
      <c r="A14" s="767"/>
      <c r="B14" s="474"/>
      <c r="C14" s="474"/>
      <c r="D14" s="474"/>
      <c r="E14" s="474"/>
      <c r="F14" s="474"/>
      <c r="G14" s="474"/>
      <c r="H14" s="474"/>
      <c r="I14" s="474"/>
      <c r="J14" s="758"/>
      <c r="K14" s="758"/>
      <c r="L14" s="758"/>
      <c r="M14" s="474"/>
      <c r="N14" s="665"/>
      <c r="O14" s="665"/>
      <c r="P14" s="665"/>
      <c r="Q14" s="665"/>
      <c r="R14" s="665"/>
      <c r="S14" s="760"/>
      <c r="T14" s="765"/>
      <c r="U14" s="760"/>
      <c r="V14" s="760"/>
      <c r="W14" s="760"/>
      <c r="X14" s="766" t="s">
        <v>1012</v>
      </c>
      <c r="Y14" s="758" t="s">
        <v>119</v>
      </c>
      <c r="Z14" s="118"/>
      <c r="AA14" s="474" t="s">
        <v>43</v>
      </c>
      <c r="AB14" s="474">
        <f>VLOOKUP(AA14,[10]Campos!$D$66:$E$67,2,FALSE)</f>
        <v>0.15</v>
      </c>
      <c r="AC14" s="474">
        <f>+Z14+AB14</f>
        <v>0.15</v>
      </c>
      <c r="AD14" s="474">
        <f>+IF(Y14="Correctivo",'Inspección, Control y Gestión S'!AC14+0.1,'Inspección, Control y Gestión S'!AC14*0)</f>
        <v>0</v>
      </c>
      <c r="AE14" s="764" t="s">
        <v>44</v>
      </c>
      <c r="AF14" s="764" t="s">
        <v>126</v>
      </c>
      <c r="AG14" s="474" t="s">
        <v>129</v>
      </c>
      <c r="AH14" s="760"/>
      <c r="AI14" s="760"/>
      <c r="AJ14" s="760"/>
      <c r="AK14" s="247" t="e">
        <f>+VLOOKUP(AJ14,[10]Campos!$S$32:$T$39,2,FALSE)</f>
        <v>#N/A</v>
      </c>
      <c r="AL14" s="763">
        <f>+[10]Campos!K113</f>
        <v>0.12282500000000002</v>
      </c>
      <c r="AM14" s="760" t="str">
        <f>+VLOOKUP(AL14,[10]Campos!$W$23:$X$122,2,TRUE)</f>
        <v>Muy Baja - 20%</v>
      </c>
      <c r="AN14" s="759">
        <f>+[10]Campos!L113</f>
        <v>0.6</v>
      </c>
      <c r="AO14" s="760" t="str">
        <f>+VLOOKUP(AN14,[10]Campos!$W$22:$Y$122,3,TRUE)</f>
        <v>3 Moderado</v>
      </c>
      <c r="AP14" s="761"/>
      <c r="AQ14" s="768"/>
      <c r="AR14" s="289" t="s">
        <v>1013</v>
      </c>
      <c r="AS14" s="289" t="s">
        <v>1014</v>
      </c>
      <c r="AT14" s="117" t="s">
        <v>999</v>
      </c>
      <c r="AU14" s="117" t="s">
        <v>157</v>
      </c>
      <c r="AV14" s="288" t="s">
        <v>1010</v>
      </c>
      <c r="AW14" s="288" t="s">
        <v>1011</v>
      </c>
      <c r="AX14" s="758"/>
      <c r="AY14" s="758"/>
      <c r="AZ14" s="758"/>
      <c r="BA14" s="758"/>
      <c r="BB14" s="474"/>
      <c r="BF14" s="52"/>
    </row>
    <row r="15" spans="1:63" s="345" customFormat="1" ht="80.5" customHeight="1">
      <c r="A15" s="767"/>
      <c r="B15" s="474"/>
      <c r="C15" s="474"/>
      <c r="D15" s="474"/>
      <c r="E15" s="474"/>
      <c r="F15" s="474"/>
      <c r="G15" s="474"/>
      <c r="H15" s="474"/>
      <c r="I15" s="474"/>
      <c r="J15" s="758"/>
      <c r="K15" s="758"/>
      <c r="L15" s="758"/>
      <c r="M15" s="474"/>
      <c r="N15" s="665"/>
      <c r="O15" s="665"/>
      <c r="P15" s="665"/>
      <c r="Q15" s="665"/>
      <c r="R15" s="665"/>
      <c r="S15" s="760"/>
      <c r="T15" s="765"/>
      <c r="U15" s="760"/>
      <c r="V15" s="760"/>
      <c r="W15" s="760"/>
      <c r="X15" s="766"/>
      <c r="Y15" s="758"/>
      <c r="Z15" s="118"/>
      <c r="AA15" s="474"/>
      <c r="AB15" s="474"/>
      <c r="AC15" s="474"/>
      <c r="AD15" s="474"/>
      <c r="AE15" s="764"/>
      <c r="AF15" s="764"/>
      <c r="AG15" s="474"/>
      <c r="AH15" s="760"/>
      <c r="AI15" s="760"/>
      <c r="AJ15" s="760"/>
      <c r="AK15" s="247" t="e">
        <f>+VLOOKUP(AJ15,[10]Campos!$S$32:$T$39,2,FALSE)</f>
        <v>#N/A</v>
      </c>
      <c r="AL15" s="763"/>
      <c r="AM15" s="760"/>
      <c r="AN15" s="759"/>
      <c r="AO15" s="760"/>
      <c r="AP15" s="761"/>
      <c r="AQ15" s="768"/>
      <c r="AR15" s="289" t="s">
        <v>1015</v>
      </c>
      <c r="AS15" s="289" t="s">
        <v>1016</v>
      </c>
      <c r="AT15" s="117" t="s">
        <v>999</v>
      </c>
      <c r="AU15" s="117" t="s">
        <v>157</v>
      </c>
      <c r="AV15" s="352">
        <v>45383</v>
      </c>
      <c r="AW15" s="352">
        <v>45625</v>
      </c>
      <c r="AX15" s="758"/>
      <c r="AY15" s="758"/>
      <c r="AZ15" s="758"/>
      <c r="BA15" s="758"/>
      <c r="BB15" s="474"/>
      <c r="BF15" s="52"/>
    </row>
    <row r="16" spans="1:63" s="345" customFormat="1" ht="213.75" customHeight="1">
      <c r="A16" s="354" t="s">
        <v>1061</v>
      </c>
      <c r="B16" s="118" t="s">
        <v>53</v>
      </c>
      <c r="C16" s="118" t="s">
        <v>1017</v>
      </c>
      <c r="D16" s="118" t="s">
        <v>59</v>
      </c>
      <c r="E16" s="118" t="s">
        <v>59</v>
      </c>
      <c r="F16" s="118" t="s">
        <v>1018</v>
      </c>
      <c r="G16" s="118" t="s">
        <v>1019</v>
      </c>
      <c r="H16" s="118" t="s">
        <v>159</v>
      </c>
      <c r="I16" s="118" t="s">
        <v>205</v>
      </c>
      <c r="J16" s="118" t="s">
        <v>991</v>
      </c>
      <c r="K16" s="118" t="s">
        <v>991</v>
      </c>
      <c r="L16" s="118" t="s">
        <v>271</v>
      </c>
      <c r="M16" s="118" t="s">
        <v>1020</v>
      </c>
      <c r="N16" s="289" t="s">
        <v>1021</v>
      </c>
      <c r="O16" s="289" t="s">
        <v>177</v>
      </c>
      <c r="P16" s="289" t="s">
        <v>74</v>
      </c>
      <c r="Q16" s="289" t="s">
        <v>1022</v>
      </c>
      <c r="R16" s="289" t="s">
        <v>42</v>
      </c>
      <c r="S16" s="247">
        <f>VLOOKUP(R16,[10]Campos!$H$11:$Q$37,3,FALSE)</f>
        <v>52</v>
      </c>
      <c r="T16" s="347" t="s">
        <v>101</v>
      </c>
      <c r="U16" s="247">
        <f>VLOOKUP(Selección1,[10]Campos!$K$11:$M$37,2,FALSE)</f>
        <v>3</v>
      </c>
      <c r="V16" s="247">
        <f t="shared" ref="V16:V19" si="0">+S16+U16</f>
        <v>55</v>
      </c>
      <c r="W16" s="247" t="str">
        <f>+VLOOKUP(V16,[10]Campos!$M$11:$N$37,2,FALSE)</f>
        <v>3 - Zona de riesgo Moderada</v>
      </c>
      <c r="X16" s="348" t="s">
        <v>1023</v>
      </c>
      <c r="Y16" s="117" t="s">
        <v>118</v>
      </c>
      <c r="Z16" s="118"/>
      <c r="AA16" s="118" t="s">
        <v>43</v>
      </c>
      <c r="AB16" s="118">
        <f>VLOOKUP(AA16,[10]Campos!$D$66:$E$67,2,FALSE)</f>
        <v>0.15</v>
      </c>
      <c r="AC16" s="118">
        <f t="shared" ref="AC16:AC17" si="1">+Z16+AB16</f>
        <v>0.15</v>
      </c>
      <c r="AD16" s="118">
        <f>+IF(Y16="Correctivo",'Inspección, Control y Gestión S'!AC16+0.1,'Inspección, Control y Gestión S'!AC16*0)</f>
        <v>0</v>
      </c>
      <c r="AE16" s="119" t="s">
        <v>44</v>
      </c>
      <c r="AF16" s="119" t="s">
        <v>126</v>
      </c>
      <c r="AG16" s="118" t="s">
        <v>129</v>
      </c>
      <c r="AH16" s="247" t="s">
        <v>135</v>
      </c>
      <c r="AI16" s="247">
        <v>0.4</v>
      </c>
      <c r="AJ16" s="247" t="s">
        <v>101</v>
      </c>
      <c r="AK16" s="247">
        <f>+VLOOKUP(AJ16,[10]Campos!$S$32:$T$39,2,FALSE)</f>
        <v>1</v>
      </c>
      <c r="AL16" s="349">
        <v>0.17</v>
      </c>
      <c r="AM16" s="247" t="s">
        <v>1024</v>
      </c>
      <c r="AN16" s="350">
        <v>0.6</v>
      </c>
      <c r="AO16" s="247" t="str">
        <f>+VLOOKUP(AN16,[10]Campos!$W$22:$Y$122,3,TRUE)</f>
        <v>3 Moderado</v>
      </c>
      <c r="AP16" s="351" t="s">
        <v>102</v>
      </c>
      <c r="AQ16" s="150" t="str">
        <f>+VLOOKUP(AP16,[10]Campos!K104:L110,2,FALSE)</f>
        <v>Evitar o compartir el riesgo</v>
      </c>
      <c r="AR16" s="118" t="s">
        <v>1025</v>
      </c>
      <c r="AS16" s="118" t="s">
        <v>1026</v>
      </c>
      <c r="AT16" s="117" t="s">
        <v>1027</v>
      </c>
      <c r="AU16" s="117" t="s">
        <v>157</v>
      </c>
      <c r="AV16" s="288" t="s">
        <v>1010</v>
      </c>
      <c r="AW16" s="288" t="s">
        <v>1011</v>
      </c>
      <c r="AX16" s="118" t="s">
        <v>1028</v>
      </c>
      <c r="AY16" s="118" t="s">
        <v>1029</v>
      </c>
      <c r="AZ16" s="117" t="s">
        <v>1017</v>
      </c>
      <c r="BA16" s="117" t="s">
        <v>1005</v>
      </c>
      <c r="BB16" s="118" t="s">
        <v>1030</v>
      </c>
      <c r="BF16" s="52"/>
    </row>
    <row r="17" spans="1:60" s="345" customFormat="1" ht="79.5" customHeight="1">
      <c r="A17" s="767" t="s">
        <v>1062</v>
      </c>
      <c r="B17" s="474" t="s">
        <v>53</v>
      </c>
      <c r="C17" s="758" t="s">
        <v>1031</v>
      </c>
      <c r="D17" s="474" t="s">
        <v>60</v>
      </c>
      <c r="E17" s="474" t="s">
        <v>60</v>
      </c>
      <c r="F17" s="474" t="s">
        <v>1032</v>
      </c>
      <c r="G17" s="474" t="s">
        <v>1033</v>
      </c>
      <c r="H17" s="474" t="s">
        <v>159</v>
      </c>
      <c r="I17" s="474" t="s">
        <v>205</v>
      </c>
      <c r="J17" s="758" t="s">
        <v>991</v>
      </c>
      <c r="K17" s="758" t="s">
        <v>991</v>
      </c>
      <c r="L17" s="758" t="s">
        <v>271</v>
      </c>
      <c r="M17" s="118" t="s">
        <v>1034</v>
      </c>
      <c r="N17" s="665" t="s">
        <v>1035</v>
      </c>
      <c r="O17" s="665" t="s">
        <v>177</v>
      </c>
      <c r="P17" s="665" t="s">
        <v>74</v>
      </c>
      <c r="Q17" s="665" t="s">
        <v>1036</v>
      </c>
      <c r="R17" s="665" t="s">
        <v>42</v>
      </c>
      <c r="S17" s="760">
        <f>VLOOKUP(R17,[10]Campos!$H$11:$Q$37,3,FALSE)</f>
        <v>52</v>
      </c>
      <c r="T17" s="765" t="s">
        <v>96</v>
      </c>
      <c r="U17" s="760">
        <f>VLOOKUP(Selección1,[10]Campos!$K$11:$M$37,2,FALSE)</f>
        <v>3</v>
      </c>
      <c r="V17" s="760">
        <f t="shared" si="0"/>
        <v>55</v>
      </c>
      <c r="W17" s="760" t="str">
        <f>+VLOOKUP(V17,[10]Campos!$M$11:$N$37,2,FALSE)</f>
        <v>3 - Zona de riesgo Moderada</v>
      </c>
      <c r="X17" s="766" t="s">
        <v>1037</v>
      </c>
      <c r="Y17" s="758" t="s">
        <v>118</v>
      </c>
      <c r="Z17" s="118"/>
      <c r="AA17" s="474" t="s">
        <v>43</v>
      </c>
      <c r="AB17" s="474">
        <f>VLOOKUP(AA17,[10]Campos!$D$66:$E$67,2,FALSE)</f>
        <v>0.15</v>
      </c>
      <c r="AC17" s="474">
        <f t="shared" si="1"/>
        <v>0.15</v>
      </c>
      <c r="AD17" s="474">
        <f>+IF(Y17="Correctivo",'Inspección, Control y Gestión S'!AC17+0.1,'Inspección, Control y Gestión S'!AC17*0)</f>
        <v>0</v>
      </c>
      <c r="AE17" s="764" t="s">
        <v>44</v>
      </c>
      <c r="AF17" s="764" t="s">
        <v>126</v>
      </c>
      <c r="AG17" s="474" t="s">
        <v>129</v>
      </c>
      <c r="AH17" s="760" t="s">
        <v>135</v>
      </c>
      <c r="AI17" s="760">
        <v>0.6</v>
      </c>
      <c r="AJ17" s="760" t="s">
        <v>96</v>
      </c>
      <c r="AK17" s="247">
        <f>+VLOOKUP(AJ17,[10]Campos!$S$32:$T$39,2,FALSE)</f>
        <v>0.6</v>
      </c>
      <c r="AL17" s="763">
        <v>0.17</v>
      </c>
      <c r="AM17" s="760" t="s">
        <v>1038</v>
      </c>
      <c r="AN17" s="759">
        <v>0.6</v>
      </c>
      <c r="AO17" s="760" t="str">
        <f>+VLOOKUP(AN17,[10]Campos!$W$22:$Y$122,3,TRUE)</f>
        <v>3 Moderado</v>
      </c>
      <c r="AP17" s="761" t="s">
        <v>97</v>
      </c>
      <c r="AQ17" s="427" t="s">
        <v>98</v>
      </c>
      <c r="AR17" s="118" t="s">
        <v>1039</v>
      </c>
      <c r="AS17" s="118" t="s">
        <v>1040</v>
      </c>
      <c r="AT17" s="758" t="s">
        <v>1041</v>
      </c>
      <c r="AU17" s="117" t="s">
        <v>157</v>
      </c>
      <c r="AV17" s="288" t="s">
        <v>1010</v>
      </c>
      <c r="AW17" s="288" t="s">
        <v>1011</v>
      </c>
      <c r="AX17" s="762" t="s">
        <v>1042</v>
      </c>
      <c r="AY17" s="758" t="s">
        <v>1043</v>
      </c>
      <c r="AZ17" s="758" t="s">
        <v>1044</v>
      </c>
      <c r="BA17" s="758" t="s">
        <v>1005</v>
      </c>
      <c r="BB17" s="474" t="s">
        <v>1045</v>
      </c>
      <c r="BF17" s="52"/>
    </row>
    <row r="18" spans="1:60" s="345" customFormat="1" ht="158.5" customHeight="1">
      <c r="A18" s="767"/>
      <c r="B18" s="474"/>
      <c r="C18" s="758"/>
      <c r="D18" s="474"/>
      <c r="E18" s="474"/>
      <c r="F18" s="474"/>
      <c r="G18" s="474"/>
      <c r="H18" s="474"/>
      <c r="I18" s="474"/>
      <c r="J18" s="758"/>
      <c r="K18" s="758"/>
      <c r="L18" s="758"/>
      <c r="M18" s="118" t="s">
        <v>1046</v>
      </c>
      <c r="N18" s="665"/>
      <c r="O18" s="665"/>
      <c r="P18" s="665"/>
      <c r="Q18" s="665"/>
      <c r="R18" s="665"/>
      <c r="S18" s="760"/>
      <c r="T18" s="765"/>
      <c r="U18" s="760"/>
      <c r="V18" s="760"/>
      <c r="W18" s="760"/>
      <c r="X18" s="766"/>
      <c r="Y18" s="758"/>
      <c r="Z18" s="118"/>
      <c r="AA18" s="474"/>
      <c r="AB18" s="474"/>
      <c r="AC18" s="474"/>
      <c r="AD18" s="474"/>
      <c r="AE18" s="764"/>
      <c r="AF18" s="764"/>
      <c r="AG18" s="474"/>
      <c r="AH18" s="760"/>
      <c r="AI18" s="760"/>
      <c r="AJ18" s="760"/>
      <c r="AK18" s="247" t="e">
        <f>+VLOOKUP(AJ18,[10]Campos!$S$32:$T$39,2,FALSE)</f>
        <v>#N/A</v>
      </c>
      <c r="AL18" s="763"/>
      <c r="AM18" s="760"/>
      <c r="AN18" s="759"/>
      <c r="AO18" s="760"/>
      <c r="AP18" s="761"/>
      <c r="AQ18" s="427"/>
      <c r="AR18" s="353" t="s">
        <v>1047</v>
      </c>
      <c r="AS18" s="118" t="s">
        <v>1048</v>
      </c>
      <c r="AT18" s="758"/>
      <c r="AU18" s="117" t="s">
        <v>157</v>
      </c>
      <c r="AV18" s="288" t="s">
        <v>1010</v>
      </c>
      <c r="AW18" s="288" t="s">
        <v>1011</v>
      </c>
      <c r="AX18" s="762"/>
      <c r="AY18" s="758"/>
      <c r="AZ18" s="758"/>
      <c r="BA18" s="758"/>
      <c r="BB18" s="474"/>
      <c r="BF18" s="52"/>
    </row>
    <row r="19" spans="1:60" s="345" customFormat="1" ht="236" customHeight="1">
      <c r="A19" s="354" t="s">
        <v>1063</v>
      </c>
      <c r="B19" s="118" t="s">
        <v>53</v>
      </c>
      <c r="C19" s="118" t="s">
        <v>1049</v>
      </c>
      <c r="D19" s="118" t="s">
        <v>59</v>
      </c>
      <c r="E19" s="118" t="s">
        <v>59</v>
      </c>
      <c r="F19" s="118" t="s">
        <v>1050</v>
      </c>
      <c r="G19" s="118" t="s">
        <v>1051</v>
      </c>
      <c r="H19" s="118" t="s">
        <v>181</v>
      </c>
      <c r="I19" s="118" t="s">
        <v>205</v>
      </c>
      <c r="J19" s="118" t="s">
        <v>991</v>
      </c>
      <c r="K19" s="118" t="s">
        <v>991</v>
      </c>
      <c r="L19" s="118" t="s">
        <v>271</v>
      </c>
      <c r="M19" s="118" t="s">
        <v>1052</v>
      </c>
      <c r="N19" s="118" t="s">
        <v>1053</v>
      </c>
      <c r="O19" s="118" t="s">
        <v>994</v>
      </c>
      <c r="P19" s="118" t="s">
        <v>74</v>
      </c>
      <c r="Q19" s="289" t="s">
        <v>1036</v>
      </c>
      <c r="R19" s="289" t="s">
        <v>42</v>
      </c>
      <c r="S19" s="247">
        <f>VLOOKUP(R19,[10]Campos!$H$11:$Q$37,3,FALSE)</f>
        <v>52</v>
      </c>
      <c r="T19" s="347" t="s">
        <v>99</v>
      </c>
      <c r="U19" s="247">
        <f>VLOOKUP(Selección1,[10]Campos!$K$11:$M$37,2,FALSE)</f>
        <v>3</v>
      </c>
      <c r="V19" s="247">
        <f t="shared" si="0"/>
        <v>55</v>
      </c>
      <c r="W19" s="247" t="str">
        <f>+VLOOKUP(V19,[10]Campos!$M$11:$N$37,2,FALSE)</f>
        <v>3 - Zona de riesgo Moderada</v>
      </c>
      <c r="X19" s="348" t="s">
        <v>1054</v>
      </c>
      <c r="Y19" s="117" t="s">
        <v>118</v>
      </c>
      <c r="Z19" s="118"/>
      <c r="AA19" s="118" t="s">
        <v>43</v>
      </c>
      <c r="AB19" s="118">
        <f>VLOOKUP(AA19,[10]Campos!$D$66:$E$67,2,FALSE)</f>
        <v>0.15</v>
      </c>
      <c r="AC19" s="118">
        <f>+Z19+AB19</f>
        <v>0.15</v>
      </c>
      <c r="AD19" s="118">
        <f>+IF(Y19="Correctivo",'Inspección, Control y Gestión S'!AC19+0.1,'Inspección, Control y Gestión S'!AC19*0)</f>
        <v>0</v>
      </c>
      <c r="AE19" s="119" t="s">
        <v>44</v>
      </c>
      <c r="AF19" s="119" t="s">
        <v>126</v>
      </c>
      <c r="AG19" s="118" t="s">
        <v>129</v>
      </c>
      <c r="AH19" s="247" t="s">
        <v>135</v>
      </c>
      <c r="AI19" s="247">
        <v>0.8</v>
      </c>
      <c r="AJ19" s="247" t="s">
        <v>99</v>
      </c>
      <c r="AK19" s="247">
        <f>+VLOOKUP(AJ19,[10]Campos!$S$32:$T$39,2,FALSE)</f>
        <v>0.8</v>
      </c>
      <c r="AL19" s="349">
        <v>0.8</v>
      </c>
      <c r="AM19" s="247" t="str">
        <f>+VLOOKUP(AL19,[10]Campos!$W$23:$X$122,2,TRUE)</f>
        <v>Alta - 80%</v>
      </c>
      <c r="AN19" s="350">
        <v>0.8</v>
      </c>
      <c r="AO19" s="247" t="str">
        <f>+VLOOKUP(AN19,[10]Campos!$W$22:$Y$122,3,TRUE)</f>
        <v>4 Mayor</v>
      </c>
      <c r="AP19" s="351" t="s">
        <v>100</v>
      </c>
      <c r="AQ19" s="150" t="s">
        <v>98</v>
      </c>
      <c r="AR19" s="118" t="s">
        <v>1055</v>
      </c>
      <c r="AS19" s="118" t="s">
        <v>1056</v>
      </c>
      <c r="AT19" s="117" t="s">
        <v>1027</v>
      </c>
      <c r="AU19" s="117" t="s">
        <v>157</v>
      </c>
      <c r="AV19" s="288" t="s">
        <v>1010</v>
      </c>
      <c r="AW19" s="288" t="s">
        <v>1011</v>
      </c>
      <c r="AX19" s="118" t="s">
        <v>1057</v>
      </c>
      <c r="AY19" s="117" t="s">
        <v>1058</v>
      </c>
      <c r="AZ19" s="117" t="s">
        <v>1059</v>
      </c>
      <c r="BA19" s="117" t="s">
        <v>1005</v>
      </c>
      <c r="BB19" s="117" t="s">
        <v>178</v>
      </c>
      <c r="BF19" s="52"/>
    </row>
    <row r="20" spans="1:60" s="191" customFormat="1">
      <c r="A20" s="346"/>
      <c r="B20" s="346"/>
      <c r="C20" s="346"/>
      <c r="D20" s="346"/>
      <c r="E20" s="346"/>
      <c r="F20" s="346"/>
      <c r="G20" s="346"/>
      <c r="H20" s="346"/>
      <c r="I20" s="346"/>
      <c r="J20" s="346"/>
      <c r="K20" s="346"/>
      <c r="L20" s="346"/>
      <c r="M20" s="346"/>
      <c r="N20" s="346"/>
      <c r="O20" s="346"/>
      <c r="P20" s="346"/>
      <c r="Q20" s="346"/>
      <c r="R20" s="346"/>
      <c r="S20" s="346"/>
      <c r="T20" s="346"/>
      <c r="U20" s="346"/>
      <c r="V20" s="346"/>
      <c r="W20" s="346"/>
      <c r="X20" s="346"/>
      <c r="Y20" s="346"/>
      <c r="Z20" s="346"/>
      <c r="AA20" s="346"/>
      <c r="AB20" s="346"/>
      <c r="AC20" s="346"/>
      <c r="AD20" s="346"/>
      <c r="AE20" s="346"/>
      <c r="AF20" s="346"/>
      <c r="AG20" s="346"/>
      <c r="AH20" s="346"/>
      <c r="AI20" s="346"/>
      <c r="AJ20" s="346"/>
      <c r="AK20" s="346"/>
      <c r="AL20" s="346"/>
      <c r="AM20" s="346"/>
      <c r="AN20" s="346"/>
      <c r="AO20" s="346"/>
      <c r="AP20" s="346"/>
      <c r="AQ20" s="16"/>
      <c r="AR20" s="346"/>
      <c r="AS20" s="346"/>
      <c r="AT20" s="346"/>
      <c r="AU20" s="346"/>
      <c r="AV20" s="346"/>
      <c r="AW20" s="346"/>
      <c r="AX20" s="346"/>
      <c r="AY20" s="346"/>
      <c r="AZ20" s="346"/>
      <c r="BA20" s="346"/>
      <c r="BB20" s="346"/>
    </row>
    <row r="21" spans="1:60" customFormat="1" ht="20.149999999999999" customHeight="1">
      <c r="A21" s="46"/>
      <c r="B21" s="46"/>
      <c r="C21" s="46"/>
      <c r="D21" s="46"/>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64"/>
      <c r="AS21" s="64"/>
      <c r="AT21" s="64"/>
      <c r="AU21" s="64"/>
      <c r="AV21" s="64"/>
      <c r="AW21" s="64"/>
      <c r="AX21" s="64"/>
      <c r="AY21" s="64"/>
      <c r="AZ21" s="64"/>
      <c r="BA21" s="64"/>
      <c r="BB21" s="64"/>
      <c r="BC21" s="4"/>
      <c r="BD21" s="4"/>
      <c r="BE21" s="4"/>
      <c r="BF21" s="4"/>
      <c r="BG21" s="4"/>
      <c r="BH21" s="4"/>
    </row>
  </sheetData>
  <sheetProtection formatCells="0" insertRows="0" deleteRows="0"/>
  <mergeCells count="143">
    <mergeCell ref="A9:A10"/>
    <mergeCell ref="B9:B10"/>
    <mergeCell ref="C9:C10"/>
    <mergeCell ref="D9:D10"/>
    <mergeCell ref="E9:E10"/>
    <mergeCell ref="F9:F10"/>
    <mergeCell ref="C1:L1"/>
    <mergeCell ref="C2:L3"/>
    <mergeCell ref="X4:AB4"/>
    <mergeCell ref="A5:AP5"/>
    <mergeCell ref="A6:Q8"/>
    <mergeCell ref="R6:W8"/>
    <mergeCell ref="X6:AG8"/>
    <mergeCell ref="AH6:AP8"/>
    <mergeCell ref="BB9:BB11"/>
    <mergeCell ref="AQ10:AQ11"/>
    <mergeCell ref="AR10:AR11"/>
    <mergeCell ref="AS10:AS11"/>
    <mergeCell ref="AT10:AT11"/>
    <mergeCell ref="AH9:AH10"/>
    <mergeCell ref="AI9:AI10"/>
    <mergeCell ref="AJ9:AJ10"/>
    <mergeCell ref="AK9:AK10"/>
    <mergeCell ref="AL9:AL10"/>
    <mergeCell ref="AM9:AM10"/>
    <mergeCell ref="A12:A15"/>
    <mergeCell ref="B12:B15"/>
    <mergeCell ref="C12:C15"/>
    <mergeCell ref="D12:D15"/>
    <mergeCell ref="E12:E15"/>
    <mergeCell ref="F12:F15"/>
    <mergeCell ref="G12:G15"/>
    <mergeCell ref="AN9:AN10"/>
    <mergeCell ref="AO9:AO10"/>
    <mergeCell ref="T9:T10"/>
    <mergeCell ref="U9:U11"/>
    <mergeCell ref="V9:V10"/>
    <mergeCell ref="W9:W10"/>
    <mergeCell ref="X9:X10"/>
    <mergeCell ref="Y9:AG9"/>
    <mergeCell ref="M9:N9"/>
    <mergeCell ref="O9:O10"/>
    <mergeCell ref="P9:P10"/>
    <mergeCell ref="Q9:Q10"/>
    <mergeCell ref="R9:R10"/>
    <mergeCell ref="S9:S10"/>
    <mergeCell ref="G9:G10"/>
    <mergeCell ref="H9:H10"/>
    <mergeCell ref="I9:I10"/>
    <mergeCell ref="H12:H15"/>
    <mergeCell ref="I12:I15"/>
    <mergeCell ref="J12:J15"/>
    <mergeCell ref="K12:K15"/>
    <mergeCell ref="L12:L15"/>
    <mergeCell ref="M12:M15"/>
    <mergeCell ref="AV10:AV11"/>
    <mergeCell ref="AW10:AW11"/>
    <mergeCell ref="AX10:AX11"/>
    <mergeCell ref="AP9:AP10"/>
    <mergeCell ref="AQ9:AW9"/>
    <mergeCell ref="AX9:BA9"/>
    <mergeCell ref="J9:J10"/>
    <mergeCell ref="K9:K10"/>
    <mergeCell ref="L9:L10"/>
    <mergeCell ref="T12:T15"/>
    <mergeCell ref="U12:U15"/>
    <mergeCell ref="V12:V15"/>
    <mergeCell ref="W12:W15"/>
    <mergeCell ref="AH12:AH15"/>
    <mergeCell ref="AI12:AI15"/>
    <mergeCell ref="AG14:AG15"/>
    <mergeCell ref="N12:N15"/>
    <mergeCell ref="O12:O15"/>
    <mergeCell ref="P12:P15"/>
    <mergeCell ref="Q12:Q15"/>
    <mergeCell ref="R12:R15"/>
    <mergeCell ref="S12:S15"/>
    <mergeCell ref="BA12:BA15"/>
    <mergeCell ref="BB12:BB15"/>
    <mergeCell ref="X14:X15"/>
    <mergeCell ref="Y14:Y15"/>
    <mergeCell ref="AA14:AA15"/>
    <mergeCell ref="AB14:AB15"/>
    <mergeCell ref="AC14:AC15"/>
    <mergeCell ref="AD14:AD15"/>
    <mergeCell ref="AE14:AE15"/>
    <mergeCell ref="AF14:AF15"/>
    <mergeCell ref="AJ12:AJ15"/>
    <mergeCell ref="AP12:AP15"/>
    <mergeCell ref="AQ12:AQ15"/>
    <mergeCell ref="AX12:AX15"/>
    <mergeCell ref="AY12:AY15"/>
    <mergeCell ref="AZ12:AZ15"/>
    <mergeCell ref="AL14:AL15"/>
    <mergeCell ref="AM14:AM15"/>
    <mergeCell ref="AN14:AN15"/>
    <mergeCell ref="AO14:AO15"/>
    <mergeCell ref="G17:G18"/>
    <mergeCell ref="H17:H18"/>
    <mergeCell ref="I17:I18"/>
    <mergeCell ref="J17:J18"/>
    <mergeCell ref="K17:K18"/>
    <mergeCell ref="L17:L18"/>
    <mergeCell ref="A17:A18"/>
    <mergeCell ref="B17:B18"/>
    <mergeCell ref="C17:C18"/>
    <mergeCell ref="D17:D18"/>
    <mergeCell ref="E17:E18"/>
    <mergeCell ref="F17:F18"/>
    <mergeCell ref="T17:T18"/>
    <mergeCell ref="U17:U18"/>
    <mergeCell ref="V17:V18"/>
    <mergeCell ref="W17:W18"/>
    <mergeCell ref="X17:X18"/>
    <mergeCell ref="Y17:Y18"/>
    <mergeCell ref="N17:N18"/>
    <mergeCell ref="O17:O18"/>
    <mergeCell ref="P17:P18"/>
    <mergeCell ref="Q17:Q18"/>
    <mergeCell ref="R17:R18"/>
    <mergeCell ref="S17:S18"/>
    <mergeCell ref="AG17:AG18"/>
    <mergeCell ref="AH17:AH18"/>
    <mergeCell ref="AI17:AI18"/>
    <mergeCell ref="AJ17:AJ18"/>
    <mergeCell ref="AL17:AL18"/>
    <mergeCell ref="AM17:AM18"/>
    <mergeCell ref="AA17:AA18"/>
    <mergeCell ref="AB17:AB18"/>
    <mergeCell ref="AC17:AC18"/>
    <mergeCell ref="AD17:AD18"/>
    <mergeCell ref="AE17:AE18"/>
    <mergeCell ref="AF17:AF18"/>
    <mergeCell ref="AY17:AY18"/>
    <mergeCell ref="AZ17:AZ18"/>
    <mergeCell ref="BA17:BA18"/>
    <mergeCell ref="BB17:BB18"/>
    <mergeCell ref="AN17:AN18"/>
    <mergeCell ref="AO17:AO18"/>
    <mergeCell ref="AP17:AP18"/>
    <mergeCell ref="AQ17:AQ18"/>
    <mergeCell ref="AT17:AT18"/>
    <mergeCell ref="AX17:AX18"/>
  </mergeCells>
  <phoneticPr fontId="34" type="noConversion"/>
  <dataValidations count="2">
    <dataValidation allowBlank="1" showErrorMessage="1" promptTitle="Lista desplegable" prompt="Seleccione una Opción" sqref="B9:B10" xr:uid="{969815B0-23B4-4A9F-8CE4-94C2F432F2CE}"/>
    <dataValidation allowBlank="1" showInputMessage="1" showErrorMessage="1" sqref="V12 V16:V17 V19" xr:uid="{5BC8717D-47B4-4E55-BC96-E2C87AE6FD7D}"/>
  </dataValidations>
  <pageMargins left="0.25" right="0.25" top="0.75" bottom="0.75" header="0.3" footer="0.3"/>
  <pageSetup paperSize="12" scale="15" orientation="landscape" r:id="rId1"/>
  <headerFooter>
    <oddHeader>&amp;L&amp;G&amp;C
MATRIZ DE IDENTIFICACIÓN Y SEGUIMIENTO A LOS 
RIESGOS INSTITUCIONALES&amp;R]</oddHeader>
    <oddFooter>&amp;R&amp;G
&amp;9SG-FM-043.V6</oddFooter>
  </headerFooter>
  <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Y122"/>
  <sheetViews>
    <sheetView showGridLines="0" topLeftCell="D43" zoomScale="70" zoomScaleNormal="70" workbookViewId="0">
      <selection activeCell="G59" sqref="G59"/>
    </sheetView>
  </sheetViews>
  <sheetFormatPr baseColWidth="10" defaultRowHeight="14"/>
  <cols>
    <col min="3" max="3" width="10.9140625" style="16"/>
    <col min="4" max="4" width="133.75" bestFit="1" customWidth="1"/>
    <col min="8" max="8" width="11.75" style="16" bestFit="1" customWidth="1"/>
    <col min="9" max="9" width="1.9140625" style="16" bestFit="1" customWidth="1"/>
    <col min="10" max="10" width="17.4140625" style="16" bestFit="1" customWidth="1"/>
    <col min="11" max="11" width="21.9140625" style="16" customWidth="1"/>
    <col min="12" max="12" width="19.4140625" style="16" customWidth="1"/>
    <col min="13" max="13" width="21.33203125" style="16" bestFit="1" customWidth="1"/>
    <col min="14" max="14" width="27.08203125" style="16" customWidth="1"/>
    <col min="15" max="15" width="13.33203125" style="16" bestFit="1" customWidth="1"/>
    <col min="16" max="16" width="28.9140625" style="16" bestFit="1" customWidth="1"/>
    <col min="17" max="17" width="29.4140625" style="16" bestFit="1" customWidth="1"/>
    <col min="18" max="18" width="17.4140625" style="16" customWidth="1"/>
    <col min="19" max="19" width="14.75" style="16" customWidth="1"/>
    <col min="20" max="20" width="15.08203125" customWidth="1"/>
    <col min="21" max="21" width="21.4140625" bestFit="1" customWidth="1"/>
    <col min="24" max="24" width="12.9140625" bestFit="1" customWidth="1"/>
    <col min="25" max="25" width="17.08203125" customWidth="1"/>
  </cols>
  <sheetData>
    <row r="1" spans="2:21" ht="14.5" thickBot="1"/>
    <row r="2" spans="2:21">
      <c r="B2" s="806" t="s">
        <v>133</v>
      </c>
      <c r="C2" s="807"/>
      <c r="D2" s="808"/>
    </row>
    <row r="3" spans="2:21">
      <c r="B3" s="809"/>
      <c r="C3" s="810"/>
      <c r="D3" s="811"/>
    </row>
    <row r="4" spans="2:21">
      <c r="B4" s="809"/>
      <c r="C4" s="810"/>
      <c r="D4" s="811"/>
    </row>
    <row r="5" spans="2:21">
      <c r="B5" s="809"/>
      <c r="C5" s="810"/>
      <c r="D5" s="811"/>
    </row>
    <row r="6" spans="2:21">
      <c r="B6" s="809"/>
      <c r="C6" s="810"/>
      <c r="D6" s="811"/>
    </row>
    <row r="7" spans="2:21" ht="14.5" thickBot="1">
      <c r="B7" s="812"/>
      <c r="C7" s="813"/>
      <c r="D7" s="814"/>
      <c r="H7" s="816" t="s">
        <v>117</v>
      </c>
      <c r="I7" s="816"/>
      <c r="J7" s="816"/>
      <c r="K7" s="816"/>
      <c r="L7" s="816"/>
      <c r="M7" s="816"/>
      <c r="N7" s="816"/>
      <c r="O7" s="816"/>
      <c r="P7" s="816"/>
      <c r="Q7" s="816"/>
    </row>
    <row r="8" spans="2:21">
      <c r="H8" s="816"/>
      <c r="I8" s="816"/>
      <c r="J8" s="816"/>
      <c r="K8" s="816"/>
      <c r="L8" s="816"/>
      <c r="M8" s="816"/>
      <c r="N8" s="816"/>
      <c r="O8" s="816"/>
      <c r="P8" s="816"/>
      <c r="Q8" s="816"/>
    </row>
    <row r="10" spans="2:21" ht="14.5" thickBot="1"/>
    <row r="11" spans="2:21">
      <c r="B11" s="803" t="s">
        <v>132</v>
      </c>
      <c r="D11" s="13" t="s">
        <v>54</v>
      </c>
      <c r="H11" s="796" t="s">
        <v>15</v>
      </c>
      <c r="I11" s="815"/>
      <c r="J11" s="796" t="s">
        <v>86</v>
      </c>
      <c r="K11" s="796" t="s">
        <v>16</v>
      </c>
      <c r="L11" s="815"/>
      <c r="M11" s="796" t="s">
        <v>87</v>
      </c>
      <c r="N11" s="796" t="s">
        <v>88</v>
      </c>
      <c r="O11" s="44"/>
      <c r="P11" s="44"/>
      <c r="Q11" s="798" t="s">
        <v>89</v>
      </c>
      <c r="S11" s="796" t="s">
        <v>15</v>
      </c>
      <c r="T11" s="796" t="s">
        <v>16</v>
      </c>
      <c r="U11" s="796" t="s">
        <v>88</v>
      </c>
    </row>
    <row r="12" spans="2:21" ht="14.5" thickBot="1">
      <c r="B12" s="804"/>
      <c r="D12" t="s">
        <v>49</v>
      </c>
      <c r="H12" s="797"/>
      <c r="I12" s="815"/>
      <c r="J12" s="797"/>
      <c r="K12" s="797"/>
      <c r="L12" s="815"/>
      <c r="M12" s="797"/>
      <c r="N12" s="797"/>
      <c r="O12" s="45"/>
      <c r="P12" s="45"/>
      <c r="Q12" s="799"/>
      <c r="S12" s="797"/>
      <c r="T12" s="797"/>
      <c r="U12" s="797"/>
    </row>
    <row r="13" spans="2:21" ht="14.5" thickBot="1">
      <c r="B13" s="804"/>
      <c r="D13" t="s">
        <v>50</v>
      </c>
      <c r="H13" s="22" t="s">
        <v>90</v>
      </c>
      <c r="I13" s="23">
        <v>1</v>
      </c>
      <c r="J13" s="23">
        <v>30</v>
      </c>
      <c r="K13" s="17" t="s">
        <v>91</v>
      </c>
      <c r="L13" s="17">
        <v>1</v>
      </c>
      <c r="M13" s="17">
        <f t="shared" ref="M13:M37" si="0">+J13+L13</f>
        <v>31</v>
      </c>
      <c r="N13" s="24" t="s">
        <v>92</v>
      </c>
      <c r="O13" s="54"/>
      <c r="P13" s="54"/>
      <c r="Q13" s="25" t="s">
        <v>93</v>
      </c>
      <c r="S13" s="22" t="s">
        <v>90</v>
      </c>
      <c r="T13" s="17" t="s">
        <v>91</v>
      </c>
      <c r="U13" s="24" t="s">
        <v>92</v>
      </c>
    </row>
    <row r="14" spans="2:21" ht="14.5" thickBot="1">
      <c r="B14" s="804"/>
      <c r="D14" t="s">
        <v>51</v>
      </c>
      <c r="H14" s="22" t="s">
        <v>90</v>
      </c>
      <c r="I14" s="26">
        <v>1</v>
      </c>
      <c r="J14" s="26">
        <v>30</v>
      </c>
      <c r="K14" s="18" t="s">
        <v>94</v>
      </c>
      <c r="L14" s="18">
        <v>2</v>
      </c>
      <c r="M14" s="18">
        <f t="shared" si="0"/>
        <v>32</v>
      </c>
      <c r="N14" s="27" t="s">
        <v>95</v>
      </c>
      <c r="O14" s="55"/>
      <c r="P14" s="55"/>
      <c r="Q14" s="28" t="s">
        <v>93</v>
      </c>
      <c r="S14" s="22" t="s">
        <v>104</v>
      </c>
      <c r="T14" s="18" t="s">
        <v>94</v>
      </c>
      <c r="U14" s="27" t="s">
        <v>95</v>
      </c>
    </row>
    <row r="15" spans="2:21" ht="14.5" thickBot="1">
      <c r="B15" s="804"/>
      <c r="D15" t="s">
        <v>52</v>
      </c>
      <c r="H15" s="22" t="s">
        <v>90</v>
      </c>
      <c r="I15" s="26">
        <v>1</v>
      </c>
      <c r="J15" s="26">
        <v>30</v>
      </c>
      <c r="K15" s="18" t="s">
        <v>96</v>
      </c>
      <c r="L15" s="18">
        <v>3</v>
      </c>
      <c r="M15" s="19">
        <f t="shared" si="0"/>
        <v>33</v>
      </c>
      <c r="N15" s="29" t="s">
        <v>97</v>
      </c>
      <c r="O15" s="56"/>
      <c r="P15" s="56"/>
      <c r="Q15" s="30" t="s">
        <v>98</v>
      </c>
      <c r="S15" s="22" t="s">
        <v>42</v>
      </c>
      <c r="T15" s="18" t="s">
        <v>96</v>
      </c>
      <c r="U15" s="29" t="s">
        <v>97</v>
      </c>
    </row>
    <row r="16" spans="2:21" ht="14.5" thickBot="1">
      <c r="B16" s="804"/>
      <c r="D16" t="s">
        <v>53</v>
      </c>
      <c r="H16" s="22" t="s">
        <v>90</v>
      </c>
      <c r="I16" s="26">
        <v>1</v>
      </c>
      <c r="J16" s="26">
        <v>30</v>
      </c>
      <c r="K16" s="18" t="s">
        <v>99</v>
      </c>
      <c r="L16" s="18">
        <v>4</v>
      </c>
      <c r="M16" s="19">
        <f t="shared" si="0"/>
        <v>34</v>
      </c>
      <c r="N16" s="31" t="s">
        <v>100</v>
      </c>
      <c r="O16" s="57"/>
      <c r="P16" s="57"/>
      <c r="Q16" s="32" t="s">
        <v>98</v>
      </c>
      <c r="S16" s="39" t="s">
        <v>108</v>
      </c>
      <c r="T16" s="18" t="s">
        <v>99</v>
      </c>
      <c r="U16" s="31" t="s">
        <v>100</v>
      </c>
    </row>
    <row r="17" spans="2:25" ht="14.5" thickBot="1">
      <c r="B17" s="804"/>
      <c r="H17" s="22" t="s">
        <v>90</v>
      </c>
      <c r="I17" s="33">
        <v>1</v>
      </c>
      <c r="J17" s="33">
        <v>30</v>
      </c>
      <c r="K17" s="20" t="s">
        <v>101</v>
      </c>
      <c r="L17" s="20">
        <v>5</v>
      </c>
      <c r="M17" s="21">
        <f t="shared" si="0"/>
        <v>35</v>
      </c>
      <c r="N17" s="34" t="s">
        <v>102</v>
      </c>
      <c r="O17" s="58"/>
      <c r="P17" s="58"/>
      <c r="Q17" s="35" t="s">
        <v>103</v>
      </c>
      <c r="S17" s="22" t="s">
        <v>110</v>
      </c>
      <c r="T17" s="20" t="s">
        <v>101</v>
      </c>
      <c r="U17" s="34" t="s">
        <v>102</v>
      </c>
    </row>
    <row r="18" spans="2:25" ht="14.5" thickBot="1">
      <c r="B18" s="804"/>
      <c r="D18" s="13" t="s">
        <v>55</v>
      </c>
      <c r="H18" s="22" t="s">
        <v>104</v>
      </c>
      <c r="I18" s="23">
        <v>2</v>
      </c>
      <c r="J18" s="23">
        <v>42</v>
      </c>
      <c r="K18" s="17" t="s">
        <v>105</v>
      </c>
      <c r="L18" s="17">
        <v>1</v>
      </c>
      <c r="M18" s="17">
        <f t="shared" si="0"/>
        <v>43</v>
      </c>
      <c r="N18" s="24" t="s">
        <v>92</v>
      </c>
      <c r="O18" s="54"/>
      <c r="P18" s="54"/>
      <c r="Q18" s="25" t="s">
        <v>93</v>
      </c>
      <c r="S18"/>
    </row>
    <row r="19" spans="2:25" ht="14.5" thickBot="1">
      <c r="B19" s="804"/>
      <c r="H19" s="22" t="s">
        <v>104</v>
      </c>
      <c r="I19" s="26">
        <v>2</v>
      </c>
      <c r="J19" s="26">
        <v>42</v>
      </c>
      <c r="K19" s="18" t="s">
        <v>94</v>
      </c>
      <c r="L19" s="18">
        <v>2</v>
      </c>
      <c r="M19" s="18">
        <f t="shared" si="0"/>
        <v>44</v>
      </c>
      <c r="N19" s="29" t="s">
        <v>106</v>
      </c>
      <c r="O19" s="56"/>
      <c r="P19" s="56"/>
      <c r="Q19" s="30" t="s">
        <v>98</v>
      </c>
      <c r="S19"/>
    </row>
    <row r="20" spans="2:25" ht="14.5" thickBot="1">
      <c r="B20" s="804"/>
      <c r="C20" s="15">
        <v>1</v>
      </c>
      <c r="D20" t="s">
        <v>56</v>
      </c>
      <c r="H20" s="22" t="s">
        <v>104</v>
      </c>
      <c r="I20" s="26">
        <v>2</v>
      </c>
      <c r="J20" s="26">
        <v>42</v>
      </c>
      <c r="K20" s="18" t="s">
        <v>96</v>
      </c>
      <c r="L20" s="18">
        <v>3</v>
      </c>
      <c r="M20" s="19">
        <f t="shared" si="0"/>
        <v>45</v>
      </c>
      <c r="N20" s="29" t="s">
        <v>97</v>
      </c>
      <c r="O20" s="56"/>
      <c r="P20" s="56"/>
      <c r="Q20" s="30" t="s">
        <v>98</v>
      </c>
      <c r="S20"/>
    </row>
    <row r="21" spans="2:25" ht="14.5" thickBot="1">
      <c r="B21" s="804"/>
      <c r="C21" s="15">
        <v>2</v>
      </c>
      <c r="D21" t="s">
        <v>57</v>
      </c>
      <c r="H21" s="22" t="s">
        <v>104</v>
      </c>
      <c r="I21" s="26">
        <v>2</v>
      </c>
      <c r="J21" s="26">
        <v>42</v>
      </c>
      <c r="K21" s="18" t="s">
        <v>99</v>
      </c>
      <c r="L21" s="18">
        <v>4</v>
      </c>
      <c r="M21" s="19">
        <f t="shared" si="0"/>
        <v>46</v>
      </c>
      <c r="N21" s="36" t="s">
        <v>100</v>
      </c>
      <c r="O21" s="59"/>
      <c r="P21" s="59"/>
      <c r="Q21" s="32" t="s">
        <v>98</v>
      </c>
      <c r="S21" t="s">
        <v>143</v>
      </c>
    </row>
    <row r="22" spans="2:25" ht="14.5" thickBot="1">
      <c r="B22" s="804"/>
      <c r="C22" s="15">
        <v>3</v>
      </c>
      <c r="D22" t="s">
        <v>58</v>
      </c>
      <c r="H22" s="22" t="s">
        <v>104</v>
      </c>
      <c r="I22" s="33">
        <v>2</v>
      </c>
      <c r="J22" s="33">
        <v>42</v>
      </c>
      <c r="K22" s="20" t="s">
        <v>101</v>
      </c>
      <c r="L22" s="20">
        <v>5</v>
      </c>
      <c r="M22" s="21">
        <f t="shared" si="0"/>
        <v>47</v>
      </c>
      <c r="N22" s="34" t="s">
        <v>102</v>
      </c>
      <c r="O22" s="58"/>
      <c r="P22" s="58"/>
      <c r="Q22" s="35" t="s">
        <v>103</v>
      </c>
      <c r="S22"/>
      <c r="X22" s="794" t="s">
        <v>15</v>
      </c>
    </row>
    <row r="23" spans="2:25" ht="14.5" thickBot="1">
      <c r="B23" s="804"/>
      <c r="C23" s="15">
        <v>4</v>
      </c>
      <c r="D23" s="14" t="s">
        <v>64</v>
      </c>
      <c r="H23" s="22" t="s">
        <v>42</v>
      </c>
      <c r="I23" s="23">
        <v>3</v>
      </c>
      <c r="J23" s="23">
        <v>52</v>
      </c>
      <c r="K23" s="17" t="s">
        <v>91</v>
      </c>
      <c r="L23" s="17">
        <v>1</v>
      </c>
      <c r="M23" s="17">
        <f t="shared" si="0"/>
        <v>53</v>
      </c>
      <c r="N23" s="37" t="s">
        <v>107</v>
      </c>
      <c r="O23" s="60"/>
      <c r="P23" s="60"/>
      <c r="Q23" s="30" t="s">
        <v>98</v>
      </c>
      <c r="S23" s="794" t="s">
        <v>15</v>
      </c>
      <c r="T23" s="794" t="s">
        <v>144</v>
      </c>
      <c r="W23" s="42">
        <v>0.01</v>
      </c>
      <c r="X23" s="794"/>
    </row>
    <row r="24" spans="2:25" ht="14.5" thickBot="1">
      <c r="B24" s="804"/>
      <c r="C24" s="15">
        <v>5</v>
      </c>
      <c r="D24" t="s">
        <v>59</v>
      </c>
      <c r="H24" s="22" t="s">
        <v>42</v>
      </c>
      <c r="I24" s="26">
        <v>3</v>
      </c>
      <c r="J24" s="26">
        <v>52</v>
      </c>
      <c r="K24" s="18" t="s">
        <v>94</v>
      </c>
      <c r="L24" s="18">
        <v>2</v>
      </c>
      <c r="M24" s="18">
        <f t="shared" si="0"/>
        <v>54</v>
      </c>
      <c r="N24" s="29" t="s">
        <v>106</v>
      </c>
      <c r="O24" s="56"/>
      <c r="P24" s="56"/>
      <c r="Q24" s="30" t="s">
        <v>98</v>
      </c>
      <c r="S24" s="794"/>
      <c r="T24" s="794"/>
      <c r="W24" s="42">
        <v>0.02</v>
      </c>
      <c r="X24" s="26" t="s">
        <v>134</v>
      </c>
      <c r="Y24" s="18" t="s">
        <v>91</v>
      </c>
    </row>
    <row r="25" spans="2:25" ht="14.5" thickBot="1">
      <c r="B25" s="804"/>
      <c r="C25" s="15">
        <v>6</v>
      </c>
      <c r="D25" t="s">
        <v>60</v>
      </c>
      <c r="H25" s="22" t="s">
        <v>42</v>
      </c>
      <c r="I25" s="26">
        <v>3</v>
      </c>
      <c r="J25" s="26">
        <v>52</v>
      </c>
      <c r="K25" s="18" t="s">
        <v>96</v>
      </c>
      <c r="L25" s="18">
        <v>3</v>
      </c>
      <c r="M25" s="19">
        <f t="shared" si="0"/>
        <v>55</v>
      </c>
      <c r="N25" s="29" t="s">
        <v>97</v>
      </c>
      <c r="O25" s="56"/>
      <c r="P25" s="56"/>
      <c r="Q25" s="30" t="s">
        <v>98</v>
      </c>
      <c r="S25" s="26" t="s">
        <v>134</v>
      </c>
      <c r="T25" s="48">
        <v>0.2</v>
      </c>
      <c r="W25" s="42">
        <v>0.03</v>
      </c>
      <c r="X25" s="26" t="s">
        <v>134</v>
      </c>
      <c r="Y25" s="18" t="s">
        <v>91</v>
      </c>
    </row>
    <row r="26" spans="2:25" ht="14.5" thickBot="1">
      <c r="B26" s="804"/>
      <c r="C26" s="15">
        <v>7</v>
      </c>
      <c r="D26" t="s">
        <v>61</v>
      </c>
      <c r="H26" s="22" t="s">
        <v>42</v>
      </c>
      <c r="I26" s="26">
        <v>3</v>
      </c>
      <c r="J26" s="26">
        <v>52</v>
      </c>
      <c r="K26" s="18" t="s">
        <v>99</v>
      </c>
      <c r="L26" s="18">
        <v>4</v>
      </c>
      <c r="M26" s="19">
        <f t="shared" si="0"/>
        <v>56</v>
      </c>
      <c r="N26" s="31" t="s">
        <v>100</v>
      </c>
      <c r="O26" s="57"/>
      <c r="P26" s="57"/>
      <c r="Q26" s="38" t="s">
        <v>98</v>
      </c>
      <c r="S26" s="26" t="s">
        <v>135</v>
      </c>
      <c r="T26" s="48">
        <v>0.4</v>
      </c>
      <c r="W26" s="42">
        <v>0.04</v>
      </c>
      <c r="X26" s="26" t="s">
        <v>134</v>
      </c>
      <c r="Y26" s="18" t="s">
        <v>91</v>
      </c>
    </row>
    <row r="27" spans="2:25" ht="14.5" thickBot="1">
      <c r="B27" s="804"/>
      <c r="C27" s="15">
        <v>8</v>
      </c>
      <c r="D27" t="s">
        <v>62</v>
      </c>
      <c r="H27" s="22" t="s">
        <v>42</v>
      </c>
      <c r="I27" s="33">
        <v>3</v>
      </c>
      <c r="J27" s="33">
        <v>52</v>
      </c>
      <c r="K27" s="20" t="s">
        <v>101</v>
      </c>
      <c r="L27" s="20">
        <v>5</v>
      </c>
      <c r="M27" s="21">
        <f t="shared" si="0"/>
        <v>57</v>
      </c>
      <c r="N27" s="34" t="s">
        <v>102</v>
      </c>
      <c r="O27" s="58"/>
      <c r="P27" s="58"/>
      <c r="Q27" s="35" t="s">
        <v>103</v>
      </c>
      <c r="S27" s="26" t="s">
        <v>46</v>
      </c>
      <c r="T27" s="48">
        <v>0.6</v>
      </c>
      <c r="W27" s="42">
        <v>0.05</v>
      </c>
      <c r="X27" s="26" t="s">
        <v>134</v>
      </c>
      <c r="Y27" s="18" t="s">
        <v>91</v>
      </c>
    </row>
    <row r="28" spans="2:25" ht="14.5" thickBot="1">
      <c r="B28" s="804"/>
      <c r="C28" s="15">
        <v>9</v>
      </c>
      <c r="D28" s="14" t="s">
        <v>63</v>
      </c>
      <c r="H28" s="39" t="s">
        <v>108</v>
      </c>
      <c r="I28" s="23">
        <v>4</v>
      </c>
      <c r="J28" s="23">
        <v>63</v>
      </c>
      <c r="K28" s="17" t="s">
        <v>91</v>
      </c>
      <c r="L28" s="17">
        <v>1</v>
      </c>
      <c r="M28" s="17">
        <f t="shared" si="0"/>
        <v>64</v>
      </c>
      <c r="N28" s="37" t="s">
        <v>107</v>
      </c>
      <c r="O28" s="60"/>
      <c r="P28" s="60"/>
      <c r="Q28" s="30" t="s">
        <v>98</v>
      </c>
      <c r="S28" s="47" t="s">
        <v>136</v>
      </c>
      <c r="T28" s="48">
        <v>0.8</v>
      </c>
      <c r="W28" s="42">
        <v>0.06</v>
      </c>
      <c r="X28" s="26" t="s">
        <v>134</v>
      </c>
      <c r="Y28" s="18" t="s">
        <v>91</v>
      </c>
    </row>
    <row r="29" spans="2:25" ht="14.5" thickBot="1">
      <c r="B29" s="804"/>
      <c r="C29" s="15">
        <v>10</v>
      </c>
      <c r="D29" t="s">
        <v>65</v>
      </c>
      <c r="H29" s="39" t="s">
        <v>108</v>
      </c>
      <c r="I29" s="26">
        <v>4</v>
      </c>
      <c r="J29" s="26">
        <v>63</v>
      </c>
      <c r="K29" s="18" t="s">
        <v>94</v>
      </c>
      <c r="L29" s="18">
        <v>2</v>
      </c>
      <c r="M29" s="18">
        <f t="shared" si="0"/>
        <v>65</v>
      </c>
      <c r="N29" s="29" t="s">
        <v>106</v>
      </c>
      <c r="O29" s="56"/>
      <c r="P29" s="56"/>
      <c r="Q29" s="30" t="s">
        <v>98</v>
      </c>
      <c r="S29" s="26" t="s">
        <v>137</v>
      </c>
      <c r="T29" s="48">
        <v>1</v>
      </c>
      <c r="W29" s="42">
        <v>7.0000000000000007E-2</v>
      </c>
      <c r="X29" s="26" t="s">
        <v>134</v>
      </c>
      <c r="Y29" s="18" t="s">
        <v>91</v>
      </c>
    </row>
    <row r="30" spans="2:25" ht="14.5" thickBot="1">
      <c r="B30" s="804"/>
      <c r="C30" s="15">
        <v>11</v>
      </c>
      <c r="D30" s="14" t="s">
        <v>66</v>
      </c>
      <c r="H30" s="39" t="s">
        <v>108</v>
      </c>
      <c r="I30" s="26">
        <v>4</v>
      </c>
      <c r="J30" s="26">
        <v>63</v>
      </c>
      <c r="K30" s="18" t="s">
        <v>96</v>
      </c>
      <c r="L30" s="18">
        <v>3</v>
      </c>
      <c r="M30" s="19">
        <f t="shared" si="0"/>
        <v>66</v>
      </c>
      <c r="N30" s="36" t="s">
        <v>109</v>
      </c>
      <c r="O30" s="59"/>
      <c r="P30" s="59"/>
      <c r="Q30" s="32" t="s">
        <v>98</v>
      </c>
      <c r="S30"/>
      <c r="W30" s="42">
        <v>0.08</v>
      </c>
      <c r="X30" s="26" t="s">
        <v>134</v>
      </c>
      <c r="Y30" s="18" t="s">
        <v>91</v>
      </c>
    </row>
    <row r="31" spans="2:25" ht="14.5" thickBot="1">
      <c r="B31" s="805"/>
      <c r="C31" s="15">
        <v>12</v>
      </c>
      <c r="D31" s="14" t="s">
        <v>67</v>
      </c>
      <c r="H31" s="39" t="s">
        <v>108</v>
      </c>
      <c r="I31" s="26">
        <v>4</v>
      </c>
      <c r="J31" s="26">
        <v>63</v>
      </c>
      <c r="K31" s="18" t="s">
        <v>99</v>
      </c>
      <c r="L31" s="18">
        <v>4</v>
      </c>
      <c r="M31" s="19">
        <f t="shared" si="0"/>
        <v>67</v>
      </c>
      <c r="N31" s="31" t="s">
        <v>100</v>
      </c>
      <c r="O31" s="57"/>
      <c r="P31" s="57"/>
      <c r="Q31" s="32" t="s">
        <v>98</v>
      </c>
      <c r="S31"/>
      <c r="W31" s="42">
        <v>0.09</v>
      </c>
      <c r="X31" s="26" t="s">
        <v>134</v>
      </c>
      <c r="Y31" s="18" t="s">
        <v>91</v>
      </c>
    </row>
    <row r="32" spans="2:25" ht="14.5" thickBot="1">
      <c r="H32" s="39" t="s">
        <v>108</v>
      </c>
      <c r="I32" s="33">
        <v>4</v>
      </c>
      <c r="J32" s="33">
        <v>63</v>
      </c>
      <c r="K32" s="20" t="s">
        <v>101</v>
      </c>
      <c r="L32" s="20">
        <v>5</v>
      </c>
      <c r="M32" s="21">
        <f t="shared" si="0"/>
        <v>68</v>
      </c>
      <c r="N32" s="34" t="s">
        <v>102</v>
      </c>
      <c r="O32" s="58"/>
      <c r="P32" s="58"/>
      <c r="Q32" s="35" t="s">
        <v>103</v>
      </c>
      <c r="S32" s="794" t="s">
        <v>16</v>
      </c>
      <c r="T32" s="794" t="s">
        <v>144</v>
      </c>
      <c r="W32" s="42">
        <v>0.1</v>
      </c>
      <c r="X32" s="26" t="s">
        <v>134</v>
      </c>
      <c r="Y32" s="18" t="s">
        <v>91</v>
      </c>
    </row>
    <row r="33" spans="2:25" ht="14.5" thickBot="1">
      <c r="H33" s="22" t="s">
        <v>110</v>
      </c>
      <c r="I33" s="23">
        <v>5</v>
      </c>
      <c r="J33" s="23">
        <v>74</v>
      </c>
      <c r="K33" s="17" t="s">
        <v>91</v>
      </c>
      <c r="L33" s="17">
        <v>1</v>
      </c>
      <c r="M33" s="17">
        <f t="shared" si="0"/>
        <v>75</v>
      </c>
      <c r="N33" s="40" t="s">
        <v>111</v>
      </c>
      <c r="O33" s="61"/>
      <c r="P33" s="61"/>
      <c r="Q33" s="32" t="s">
        <v>98</v>
      </c>
      <c r="S33" s="794"/>
      <c r="T33" s="794"/>
      <c r="W33" s="42">
        <v>0.11</v>
      </c>
      <c r="X33" s="26" t="s">
        <v>134</v>
      </c>
      <c r="Y33" s="18" t="s">
        <v>91</v>
      </c>
    </row>
    <row r="34" spans="2:25" ht="14.5" thickBot="1">
      <c r="B34" s="800" t="s">
        <v>131</v>
      </c>
      <c r="D34" s="13" t="s">
        <v>85</v>
      </c>
      <c r="H34" s="22" t="s">
        <v>112</v>
      </c>
      <c r="I34" s="26">
        <v>5</v>
      </c>
      <c r="J34" s="26">
        <v>74</v>
      </c>
      <c r="K34" s="18" t="s">
        <v>94</v>
      </c>
      <c r="L34" s="18">
        <v>2</v>
      </c>
      <c r="M34" s="18">
        <f t="shared" si="0"/>
        <v>76</v>
      </c>
      <c r="N34" s="31" t="s">
        <v>113</v>
      </c>
      <c r="O34" s="57"/>
      <c r="P34" s="57"/>
      <c r="Q34" s="32" t="s">
        <v>98</v>
      </c>
      <c r="S34" s="18" t="s">
        <v>91</v>
      </c>
      <c r="T34" s="48">
        <v>0.2</v>
      </c>
      <c r="W34" s="42">
        <v>0.12</v>
      </c>
      <c r="X34" s="26" t="s">
        <v>134</v>
      </c>
      <c r="Y34" s="18" t="s">
        <v>91</v>
      </c>
    </row>
    <row r="35" spans="2:25" ht="14.5" thickBot="1">
      <c r="B35" s="801"/>
      <c r="C35" s="16">
        <v>1</v>
      </c>
      <c r="D35" t="s">
        <v>81</v>
      </c>
      <c r="H35" s="22" t="s">
        <v>114</v>
      </c>
      <c r="I35" s="26">
        <v>5</v>
      </c>
      <c r="J35" s="26">
        <v>74</v>
      </c>
      <c r="K35" s="18" t="s">
        <v>96</v>
      </c>
      <c r="L35" s="18">
        <v>3</v>
      </c>
      <c r="M35" s="19">
        <f t="shared" si="0"/>
        <v>77</v>
      </c>
      <c r="N35" s="31" t="s">
        <v>109</v>
      </c>
      <c r="O35" s="57"/>
      <c r="P35" s="57"/>
      <c r="Q35" s="32" t="s">
        <v>98</v>
      </c>
      <c r="S35" s="18" t="s">
        <v>94</v>
      </c>
      <c r="T35" s="48">
        <v>0.4</v>
      </c>
      <c r="W35" s="42">
        <v>0.13</v>
      </c>
      <c r="X35" s="26" t="s">
        <v>134</v>
      </c>
      <c r="Y35" s="18" t="s">
        <v>91</v>
      </c>
    </row>
    <row r="36" spans="2:25" ht="14.5" thickBot="1">
      <c r="B36" s="801"/>
      <c r="C36" s="16">
        <v>2</v>
      </c>
      <c r="D36" t="s">
        <v>74</v>
      </c>
      <c r="H36" s="22" t="s">
        <v>115</v>
      </c>
      <c r="I36" s="26">
        <v>5</v>
      </c>
      <c r="J36" s="26">
        <v>74</v>
      </c>
      <c r="K36" s="18" t="s">
        <v>99</v>
      </c>
      <c r="L36" s="18">
        <v>4</v>
      </c>
      <c r="M36" s="19">
        <f t="shared" si="0"/>
        <v>78</v>
      </c>
      <c r="N36" s="31" t="s">
        <v>100</v>
      </c>
      <c r="O36" s="57"/>
      <c r="P36" s="57"/>
      <c r="Q36" s="32" t="s">
        <v>98</v>
      </c>
      <c r="S36" s="18" t="s">
        <v>96</v>
      </c>
      <c r="T36" s="48">
        <v>0.6</v>
      </c>
      <c r="W36" s="42">
        <v>0.14000000000000001</v>
      </c>
      <c r="X36" s="26" t="s">
        <v>134</v>
      </c>
      <c r="Y36" s="18" t="s">
        <v>91</v>
      </c>
    </row>
    <row r="37" spans="2:25" ht="14.5" thickBot="1">
      <c r="B37" s="801"/>
      <c r="C37" s="16">
        <v>3</v>
      </c>
      <c r="D37" t="s">
        <v>82</v>
      </c>
      <c r="H37" s="22" t="s">
        <v>116</v>
      </c>
      <c r="I37" s="33">
        <v>5</v>
      </c>
      <c r="J37" s="33">
        <v>74</v>
      </c>
      <c r="K37" s="20" t="s">
        <v>101</v>
      </c>
      <c r="L37" s="20">
        <v>5</v>
      </c>
      <c r="M37" s="21">
        <f t="shared" si="0"/>
        <v>79</v>
      </c>
      <c r="N37" s="34" t="s">
        <v>102</v>
      </c>
      <c r="O37" s="58"/>
      <c r="P37" s="58"/>
      <c r="Q37" s="35" t="s">
        <v>103</v>
      </c>
      <c r="S37" s="18" t="s">
        <v>99</v>
      </c>
      <c r="T37" s="48">
        <v>0.8</v>
      </c>
      <c r="W37" s="42">
        <v>0.15</v>
      </c>
      <c r="X37" s="26" t="s">
        <v>134</v>
      </c>
      <c r="Y37" s="18" t="s">
        <v>91</v>
      </c>
    </row>
    <row r="38" spans="2:25">
      <c r="B38" s="801"/>
      <c r="C38" s="16">
        <v>4</v>
      </c>
      <c r="D38" t="s">
        <v>83</v>
      </c>
      <c r="S38" s="18" t="s">
        <v>101</v>
      </c>
      <c r="T38" s="49">
        <v>1</v>
      </c>
      <c r="W38" s="42">
        <v>0.16</v>
      </c>
      <c r="X38" s="26" t="s">
        <v>134</v>
      </c>
      <c r="Y38" s="18" t="s">
        <v>91</v>
      </c>
    </row>
    <row r="39" spans="2:25">
      <c r="B39" s="801"/>
      <c r="C39" s="16">
        <v>5</v>
      </c>
      <c r="D39" t="s">
        <v>84</v>
      </c>
      <c r="W39" s="42">
        <v>0.17</v>
      </c>
      <c r="X39" s="26" t="s">
        <v>134</v>
      </c>
      <c r="Y39" s="18" t="s">
        <v>91</v>
      </c>
    </row>
    <row r="40" spans="2:25">
      <c r="B40" s="801"/>
      <c r="W40" s="42">
        <v>0.18</v>
      </c>
      <c r="X40" s="26" t="s">
        <v>134</v>
      </c>
      <c r="Y40" s="18" t="s">
        <v>91</v>
      </c>
    </row>
    <row r="41" spans="2:25">
      <c r="B41" s="801"/>
      <c r="W41" s="42">
        <v>0.19</v>
      </c>
      <c r="X41" s="26" t="s">
        <v>134</v>
      </c>
      <c r="Y41" s="18" t="s">
        <v>91</v>
      </c>
    </row>
    <row r="42" spans="2:25">
      <c r="B42" s="801"/>
      <c r="D42" s="13" t="s">
        <v>76</v>
      </c>
      <c r="W42" s="42">
        <v>0.2</v>
      </c>
      <c r="X42" s="26" t="s">
        <v>134</v>
      </c>
      <c r="Y42" s="18" t="s">
        <v>91</v>
      </c>
    </row>
    <row r="43" spans="2:25" ht="20">
      <c r="B43" s="801"/>
      <c r="C43" s="16">
        <v>1</v>
      </c>
      <c r="D43" t="s">
        <v>74</v>
      </c>
      <c r="I43" s="795" t="s">
        <v>151</v>
      </c>
      <c r="J43" s="795"/>
      <c r="K43" s="795"/>
      <c r="L43" s="795"/>
      <c r="M43" s="795"/>
      <c r="N43" s="795"/>
      <c r="O43" s="50"/>
      <c r="P43" s="50"/>
      <c r="W43" s="42">
        <v>0.21</v>
      </c>
      <c r="X43" s="26" t="s">
        <v>135</v>
      </c>
      <c r="Y43" s="18" t="s">
        <v>94</v>
      </c>
    </row>
    <row r="44" spans="2:25">
      <c r="B44" s="801"/>
      <c r="C44" s="16">
        <v>2</v>
      </c>
      <c r="D44" t="s">
        <v>75</v>
      </c>
      <c r="W44" s="42">
        <v>0.22</v>
      </c>
      <c r="X44" s="26" t="s">
        <v>135</v>
      </c>
      <c r="Y44" s="18" t="s">
        <v>94</v>
      </c>
    </row>
    <row r="45" spans="2:25">
      <c r="B45" s="801"/>
      <c r="C45" s="16">
        <v>3</v>
      </c>
      <c r="D45" t="s">
        <v>77</v>
      </c>
      <c r="W45" s="42">
        <v>0.23</v>
      </c>
      <c r="X45" s="26" t="s">
        <v>135</v>
      </c>
      <c r="Y45" s="18" t="s">
        <v>94</v>
      </c>
    </row>
    <row r="46" spans="2:25">
      <c r="B46" s="801"/>
      <c r="C46" s="16">
        <v>4</v>
      </c>
      <c r="D46" t="s">
        <v>78</v>
      </c>
      <c r="W46" s="42">
        <v>0.24</v>
      </c>
      <c r="X46" s="26" t="s">
        <v>135</v>
      </c>
      <c r="Y46" s="18" t="s">
        <v>94</v>
      </c>
    </row>
    <row r="47" spans="2:25">
      <c r="B47" s="801"/>
      <c r="C47" s="16">
        <v>5</v>
      </c>
      <c r="D47" t="s">
        <v>79</v>
      </c>
      <c r="W47" s="42">
        <v>0.25</v>
      </c>
      <c r="X47" s="26" t="s">
        <v>135</v>
      </c>
      <c r="Y47" s="18" t="s">
        <v>94</v>
      </c>
    </row>
    <row r="48" spans="2:25">
      <c r="B48" s="801"/>
      <c r="H48" s="64"/>
      <c r="I48" s="64"/>
      <c r="J48" s="64"/>
      <c r="K48" s="64"/>
      <c r="L48" s="64"/>
      <c r="M48" s="64"/>
      <c r="N48" s="64"/>
      <c r="O48" s="64"/>
      <c r="P48" s="64"/>
      <c r="Q48" s="64"/>
      <c r="R48" s="64"/>
      <c r="S48" s="64"/>
      <c r="W48" s="42">
        <v>0.26</v>
      </c>
      <c r="X48" s="26" t="s">
        <v>135</v>
      </c>
      <c r="Y48" s="18" t="s">
        <v>94</v>
      </c>
    </row>
    <row r="49" spans="2:25">
      <c r="B49" s="801"/>
      <c r="H49" s="64"/>
      <c r="I49" s="64"/>
      <c r="J49" s="64"/>
      <c r="K49" s="64"/>
      <c r="L49" s="64"/>
      <c r="M49" s="64"/>
      <c r="N49" s="64"/>
      <c r="O49" s="64"/>
      <c r="P49" s="64"/>
      <c r="Q49" s="64"/>
      <c r="R49" s="64"/>
      <c r="S49" s="64"/>
      <c r="W49" s="42">
        <v>0.27</v>
      </c>
      <c r="X49" s="26" t="s">
        <v>135</v>
      </c>
      <c r="Y49" s="18" t="s">
        <v>94</v>
      </c>
    </row>
    <row r="50" spans="2:25">
      <c r="B50" s="801"/>
      <c r="D50" s="13" t="s">
        <v>80</v>
      </c>
      <c r="H50" s="64"/>
      <c r="I50" s="64"/>
      <c r="J50" s="64"/>
      <c r="K50" s="64"/>
      <c r="L50" s="64"/>
      <c r="M50" s="64"/>
      <c r="N50" s="64"/>
      <c r="O50" s="64"/>
      <c r="P50" s="64"/>
      <c r="Q50" s="64"/>
      <c r="R50" s="64"/>
      <c r="S50" s="64"/>
      <c r="W50" s="42">
        <v>0.28000000000000003</v>
      </c>
      <c r="X50" s="26" t="s">
        <v>135</v>
      </c>
      <c r="Y50" s="18" t="s">
        <v>94</v>
      </c>
    </row>
    <row r="51" spans="2:25">
      <c r="B51" s="801"/>
      <c r="C51" s="16">
        <v>1</v>
      </c>
      <c r="D51" t="s">
        <v>180</v>
      </c>
      <c r="H51" s="64"/>
      <c r="I51" s="64"/>
      <c r="J51" s="64"/>
      <c r="K51" s="64"/>
      <c r="L51" s="64"/>
      <c r="M51" s="64"/>
      <c r="N51" s="64"/>
      <c r="O51" s="64"/>
      <c r="P51" s="64"/>
      <c r="Q51" s="64"/>
      <c r="R51" s="64"/>
      <c r="S51" s="64"/>
      <c r="W51" s="42">
        <v>0.28999999999999998</v>
      </c>
      <c r="X51" s="26" t="s">
        <v>135</v>
      </c>
      <c r="Y51" s="18" t="s">
        <v>94</v>
      </c>
    </row>
    <row r="52" spans="2:25">
      <c r="B52" s="801"/>
      <c r="C52" s="16">
        <v>2</v>
      </c>
      <c r="D52" t="s">
        <v>68</v>
      </c>
      <c r="H52" s="64"/>
      <c r="I52" s="64"/>
      <c r="J52" s="64"/>
      <c r="K52" s="64"/>
      <c r="L52" s="64"/>
      <c r="M52" s="64"/>
      <c r="N52" s="64"/>
      <c r="O52" s="64"/>
      <c r="P52" s="64"/>
      <c r="Q52" s="64"/>
      <c r="R52" s="64"/>
      <c r="S52" s="64"/>
      <c r="W52" s="42">
        <v>0.3</v>
      </c>
      <c r="X52" s="26" t="s">
        <v>135</v>
      </c>
      <c r="Y52" s="18" t="s">
        <v>94</v>
      </c>
    </row>
    <row r="53" spans="2:25" ht="14.5" customHeight="1">
      <c r="B53" s="801"/>
      <c r="C53" s="16">
        <v>3</v>
      </c>
      <c r="D53" t="s">
        <v>69</v>
      </c>
      <c r="H53" s="78"/>
      <c r="I53" s="78"/>
      <c r="J53" s="78"/>
      <c r="K53" s="78"/>
      <c r="L53" s="78"/>
      <c r="M53" s="78"/>
      <c r="N53" s="78"/>
      <c r="O53" s="78"/>
      <c r="P53" s="78"/>
      <c r="Q53" s="78"/>
      <c r="R53" s="64"/>
      <c r="S53" s="64"/>
      <c r="W53" s="42">
        <v>0.31</v>
      </c>
      <c r="X53" s="26" t="s">
        <v>135</v>
      </c>
      <c r="Y53" s="18" t="s">
        <v>94</v>
      </c>
    </row>
    <row r="54" spans="2:25" ht="14.5" customHeight="1">
      <c r="B54" s="801"/>
      <c r="C54" s="16">
        <v>4</v>
      </c>
      <c r="D54" t="s">
        <v>70</v>
      </c>
      <c r="H54" s="78"/>
      <c r="I54" s="78"/>
      <c r="J54" s="78"/>
      <c r="K54" s="78"/>
      <c r="L54" s="78"/>
      <c r="M54" s="78"/>
      <c r="N54" s="78"/>
      <c r="O54" s="78"/>
      <c r="P54" s="78"/>
      <c r="Q54" s="78"/>
      <c r="R54" s="64"/>
      <c r="S54" s="64"/>
      <c r="W54" s="42">
        <v>0.32</v>
      </c>
      <c r="X54" s="26" t="s">
        <v>135</v>
      </c>
      <c r="Y54" s="18" t="s">
        <v>94</v>
      </c>
    </row>
    <row r="55" spans="2:25">
      <c r="B55" s="801"/>
      <c r="C55" s="16">
        <v>5</v>
      </c>
      <c r="D55" t="s">
        <v>71</v>
      </c>
      <c r="H55" s="64"/>
      <c r="I55" s="64"/>
      <c r="J55" s="64"/>
      <c r="K55" s="64"/>
      <c r="L55" s="64"/>
      <c r="M55" s="64"/>
      <c r="N55" s="64"/>
      <c r="O55" s="64"/>
      <c r="P55" s="64"/>
      <c r="Q55" s="64"/>
      <c r="R55" s="64"/>
      <c r="S55" s="64"/>
      <c r="W55" s="42">
        <v>0.33</v>
      </c>
      <c r="X55" s="26" t="s">
        <v>135</v>
      </c>
      <c r="Y55" s="18" t="s">
        <v>94</v>
      </c>
    </row>
    <row r="56" spans="2:25">
      <c r="B56" s="801"/>
      <c r="C56" s="16">
        <v>6</v>
      </c>
      <c r="D56" s="14" t="s">
        <v>72</v>
      </c>
      <c r="H56" s="64"/>
      <c r="I56" s="64"/>
      <c r="J56" s="64"/>
      <c r="K56" s="64"/>
      <c r="L56" s="64"/>
      <c r="M56" s="64"/>
      <c r="N56" s="64"/>
      <c r="O56" s="64"/>
      <c r="P56" s="64"/>
      <c r="Q56" s="64"/>
      <c r="R56" s="64"/>
      <c r="W56" s="42">
        <v>0.34</v>
      </c>
      <c r="X56" s="26" t="s">
        <v>135</v>
      </c>
      <c r="Y56" s="18" t="s">
        <v>94</v>
      </c>
    </row>
    <row r="57" spans="2:25">
      <c r="B57" s="801"/>
      <c r="C57" s="16">
        <v>7</v>
      </c>
      <c r="D57" t="s">
        <v>73</v>
      </c>
      <c r="H57" s="64"/>
      <c r="I57" s="64"/>
      <c r="J57" s="64"/>
      <c r="K57" s="64"/>
      <c r="L57" s="64"/>
      <c r="M57" s="64"/>
      <c r="N57" s="64"/>
      <c r="O57" s="64"/>
      <c r="P57" s="64"/>
      <c r="Q57" s="64"/>
      <c r="R57" s="64"/>
      <c r="W57" s="42">
        <v>0.35</v>
      </c>
      <c r="X57" s="26" t="s">
        <v>135</v>
      </c>
      <c r="Y57" s="18" t="s">
        <v>94</v>
      </c>
    </row>
    <row r="58" spans="2:25">
      <c r="B58" s="801"/>
      <c r="H58" s="64"/>
      <c r="I58" s="64"/>
      <c r="J58" s="64"/>
      <c r="K58" s="75"/>
      <c r="L58" s="76"/>
      <c r="M58" s="77"/>
      <c r="N58" s="79"/>
      <c r="O58" s="79"/>
      <c r="P58" s="79"/>
      <c r="Q58" s="79"/>
      <c r="R58" s="64"/>
      <c r="W58" s="42">
        <v>0.36</v>
      </c>
      <c r="X58" s="26" t="s">
        <v>135</v>
      </c>
      <c r="Y58" s="18" t="s">
        <v>94</v>
      </c>
    </row>
    <row r="59" spans="2:25">
      <c r="B59" s="801"/>
      <c r="H59" s="64"/>
      <c r="I59" s="64"/>
      <c r="J59" s="64"/>
      <c r="K59" s="75"/>
      <c r="L59" s="76"/>
      <c r="M59" s="77"/>
      <c r="N59" s="79"/>
      <c r="O59" s="79"/>
      <c r="P59" s="79"/>
      <c r="Q59" s="79"/>
      <c r="R59" s="64"/>
      <c r="W59" s="42">
        <v>0.37</v>
      </c>
      <c r="X59" s="26" t="s">
        <v>135</v>
      </c>
      <c r="Y59" s="18" t="s">
        <v>94</v>
      </c>
    </row>
    <row r="60" spans="2:25">
      <c r="B60" s="801"/>
      <c r="D60" s="13" t="s">
        <v>121</v>
      </c>
      <c r="E60" s="16" t="s">
        <v>15</v>
      </c>
      <c r="F60" t="s">
        <v>144</v>
      </c>
      <c r="H60" s="64"/>
      <c r="I60" s="64"/>
      <c r="J60" s="64"/>
      <c r="K60" s="75"/>
      <c r="L60" s="76"/>
      <c r="M60" s="77"/>
      <c r="N60" s="79"/>
      <c r="O60" s="79"/>
      <c r="P60" s="79"/>
      <c r="Q60" s="79"/>
      <c r="R60" s="64"/>
      <c r="W60" s="42">
        <v>0.38</v>
      </c>
      <c r="X60" s="26" t="s">
        <v>135</v>
      </c>
      <c r="Y60" s="18" t="s">
        <v>94</v>
      </c>
    </row>
    <row r="61" spans="2:25">
      <c r="B61" s="801"/>
      <c r="C61" s="16">
        <v>1</v>
      </c>
      <c r="D61" s="41" t="s">
        <v>118</v>
      </c>
      <c r="E61" s="63">
        <v>0.25</v>
      </c>
      <c r="G61" s="16"/>
      <c r="H61" s="64"/>
      <c r="I61" s="64"/>
      <c r="J61" s="64"/>
      <c r="K61" s="75"/>
      <c r="L61" s="77"/>
      <c r="M61" s="77"/>
      <c r="N61" s="79"/>
      <c r="O61" s="79"/>
      <c r="P61" s="79"/>
      <c r="Q61" s="79"/>
      <c r="R61" s="64"/>
      <c r="W61" s="42">
        <v>0.39</v>
      </c>
      <c r="X61" s="26" t="s">
        <v>135</v>
      </c>
      <c r="Y61" s="18" t="s">
        <v>94</v>
      </c>
    </row>
    <row r="62" spans="2:25">
      <c r="B62" s="801"/>
      <c r="C62" s="16">
        <v>2</v>
      </c>
      <c r="D62" t="s">
        <v>119</v>
      </c>
      <c r="E62" s="63">
        <v>0.15</v>
      </c>
      <c r="G62" s="16"/>
      <c r="H62" s="64"/>
      <c r="I62" s="64"/>
      <c r="J62" s="64"/>
      <c r="K62" s="75"/>
      <c r="L62" s="77"/>
      <c r="M62" s="77"/>
      <c r="N62" s="79"/>
      <c r="O62" s="79"/>
      <c r="P62" s="79"/>
      <c r="Q62" s="79"/>
      <c r="R62" s="64"/>
      <c r="W62" s="42">
        <v>0.4</v>
      </c>
      <c r="X62" s="26" t="s">
        <v>135</v>
      </c>
      <c r="Y62" s="18" t="s">
        <v>94</v>
      </c>
    </row>
    <row r="63" spans="2:25">
      <c r="B63" s="801"/>
      <c r="C63" s="16">
        <v>3</v>
      </c>
      <c r="D63" t="s">
        <v>120</v>
      </c>
      <c r="E63" s="63">
        <v>0.1</v>
      </c>
      <c r="F63" s="16" t="s">
        <v>142</v>
      </c>
      <c r="H63" s="64"/>
      <c r="I63" s="64"/>
      <c r="J63" s="64"/>
      <c r="K63" s="75"/>
      <c r="L63" s="77"/>
      <c r="M63" s="77"/>
      <c r="N63" s="79"/>
      <c r="O63" s="79"/>
      <c r="P63" s="79"/>
      <c r="Q63" s="79"/>
      <c r="R63" s="64"/>
      <c r="W63" s="42">
        <v>0.41</v>
      </c>
      <c r="X63" s="26" t="s">
        <v>46</v>
      </c>
      <c r="Y63" s="18" t="s">
        <v>96</v>
      </c>
    </row>
    <row r="64" spans="2:25">
      <c r="B64" s="801"/>
      <c r="H64" s="64"/>
      <c r="I64" s="64"/>
      <c r="J64" s="64"/>
      <c r="K64" s="75"/>
      <c r="L64" s="77"/>
      <c r="M64" s="77"/>
      <c r="N64" s="79"/>
      <c r="O64" s="79"/>
      <c r="P64" s="79"/>
      <c r="Q64" s="79"/>
      <c r="R64" s="64"/>
      <c r="W64" s="42">
        <v>0.42</v>
      </c>
      <c r="X64" s="26" t="s">
        <v>46</v>
      </c>
      <c r="Y64" s="18" t="s">
        <v>96</v>
      </c>
    </row>
    <row r="65" spans="2:25">
      <c r="B65" s="801"/>
      <c r="D65" s="43" t="s">
        <v>125</v>
      </c>
      <c r="H65" s="64"/>
      <c r="I65" s="64"/>
      <c r="J65" s="64"/>
      <c r="K65" s="75"/>
      <c r="L65" s="77"/>
      <c r="M65" s="77"/>
      <c r="N65" s="79"/>
      <c r="O65" s="79"/>
      <c r="P65" s="79"/>
      <c r="Q65" s="79"/>
      <c r="R65" s="64"/>
      <c r="W65" s="42">
        <v>0.43</v>
      </c>
      <c r="X65" s="26" t="s">
        <v>46</v>
      </c>
      <c r="Y65" s="18" t="s">
        <v>96</v>
      </c>
    </row>
    <row r="66" spans="2:25">
      <c r="B66" s="801"/>
      <c r="C66" s="16">
        <v>1</v>
      </c>
      <c r="D66" t="s">
        <v>122</v>
      </c>
      <c r="E66" s="42">
        <v>0.25</v>
      </c>
      <c r="H66" s="64"/>
      <c r="I66" s="64"/>
      <c r="J66" s="64"/>
      <c r="K66" s="75"/>
      <c r="L66" s="77"/>
      <c r="M66" s="77"/>
      <c r="N66" s="79"/>
      <c r="O66" s="79"/>
      <c r="P66" s="79"/>
      <c r="Q66" s="79"/>
      <c r="R66" s="64"/>
      <c r="W66" s="42">
        <v>0.44</v>
      </c>
      <c r="X66" s="26" t="s">
        <v>46</v>
      </c>
      <c r="Y66" s="18" t="s">
        <v>96</v>
      </c>
    </row>
    <row r="67" spans="2:25">
      <c r="B67" s="801"/>
      <c r="C67" s="16">
        <v>2</v>
      </c>
      <c r="D67" t="s">
        <v>43</v>
      </c>
      <c r="E67" s="42">
        <v>0.15</v>
      </c>
      <c r="H67" s="80"/>
      <c r="I67" s="64"/>
      <c r="J67" s="64"/>
      <c r="K67" s="75"/>
      <c r="L67" s="77"/>
      <c r="M67" s="77"/>
      <c r="N67" s="79"/>
      <c r="O67" s="79"/>
      <c r="P67" s="79"/>
      <c r="Q67" s="79"/>
      <c r="R67" s="64"/>
      <c r="W67" s="42">
        <v>0.45</v>
      </c>
      <c r="X67" s="26" t="s">
        <v>46</v>
      </c>
      <c r="Y67" s="18" t="s">
        <v>96</v>
      </c>
    </row>
    <row r="68" spans="2:25">
      <c r="B68" s="801"/>
      <c r="H68" s="80"/>
      <c r="I68" s="64"/>
      <c r="J68" s="64"/>
      <c r="K68" s="75"/>
      <c r="L68" s="77"/>
      <c r="M68" s="77"/>
      <c r="N68" s="79"/>
      <c r="O68" s="79"/>
      <c r="P68" s="79"/>
      <c r="Q68" s="79"/>
      <c r="R68" s="64"/>
      <c r="W68" s="42">
        <v>0.46</v>
      </c>
      <c r="X68" s="26" t="s">
        <v>46</v>
      </c>
      <c r="Y68" s="18" t="s">
        <v>96</v>
      </c>
    </row>
    <row r="69" spans="2:25">
      <c r="B69" s="801"/>
      <c r="D69" s="43" t="s">
        <v>124</v>
      </c>
      <c r="H69" s="80"/>
      <c r="I69" s="64"/>
      <c r="J69" s="64"/>
      <c r="K69" s="75"/>
      <c r="L69" s="77"/>
      <c r="M69" s="77"/>
      <c r="N69" s="79"/>
      <c r="O69" s="79"/>
      <c r="P69" s="79"/>
      <c r="Q69" s="79"/>
      <c r="R69" s="64"/>
      <c r="W69" s="42">
        <v>0.47</v>
      </c>
      <c r="X69" s="26" t="s">
        <v>46</v>
      </c>
      <c r="Y69" s="18" t="s">
        <v>96</v>
      </c>
    </row>
    <row r="70" spans="2:25">
      <c r="B70" s="801"/>
      <c r="C70" s="16">
        <v>1</v>
      </c>
      <c r="D70" t="s">
        <v>44</v>
      </c>
      <c r="H70" s="64"/>
      <c r="I70" s="64"/>
      <c r="J70" s="64"/>
      <c r="K70" s="75"/>
      <c r="L70" s="77"/>
      <c r="M70" s="77"/>
      <c r="N70" s="79"/>
      <c r="O70" s="79"/>
      <c r="P70" s="79"/>
      <c r="Q70" s="79"/>
      <c r="R70" s="64"/>
      <c r="W70" s="42">
        <v>0.48</v>
      </c>
      <c r="X70" s="26" t="s">
        <v>46</v>
      </c>
      <c r="Y70" s="18" t="s">
        <v>96</v>
      </c>
    </row>
    <row r="71" spans="2:25">
      <c r="B71" s="801"/>
      <c r="C71" s="16">
        <v>2</v>
      </c>
      <c r="D71" t="s">
        <v>123</v>
      </c>
      <c r="H71" s="64"/>
      <c r="I71" s="64"/>
      <c r="J71" s="64"/>
      <c r="K71" s="75"/>
      <c r="L71" s="77"/>
      <c r="M71" s="77"/>
      <c r="N71" s="79"/>
      <c r="O71" s="79"/>
      <c r="P71" s="79"/>
      <c r="Q71" s="79"/>
      <c r="R71" s="64"/>
      <c r="W71" s="42">
        <v>0.49</v>
      </c>
      <c r="X71" s="26" t="s">
        <v>46</v>
      </c>
      <c r="Y71" s="18" t="s">
        <v>96</v>
      </c>
    </row>
    <row r="72" spans="2:25">
      <c r="B72" s="801"/>
      <c r="H72" s="64"/>
      <c r="I72" s="64"/>
      <c r="J72" s="64"/>
      <c r="K72" s="75"/>
      <c r="L72" s="77"/>
      <c r="M72" s="77"/>
      <c r="N72" s="79"/>
      <c r="O72" s="79"/>
      <c r="P72" s="79"/>
      <c r="Q72" s="79"/>
      <c r="R72" s="64"/>
      <c r="W72" s="42">
        <v>0.5</v>
      </c>
      <c r="X72" s="26" t="s">
        <v>46</v>
      </c>
      <c r="Y72" s="18" t="s">
        <v>96</v>
      </c>
    </row>
    <row r="73" spans="2:25">
      <c r="B73" s="801"/>
      <c r="D73" s="43" t="s">
        <v>127</v>
      </c>
      <c r="H73" s="64"/>
      <c r="I73" s="64"/>
      <c r="J73" s="64"/>
      <c r="K73" s="64"/>
      <c r="L73" s="64"/>
      <c r="M73" s="64"/>
      <c r="N73" s="64"/>
      <c r="O73" s="64"/>
      <c r="P73" s="64"/>
      <c r="Q73" s="64"/>
      <c r="R73" s="64"/>
      <c r="W73" s="42">
        <v>0.51</v>
      </c>
      <c r="X73" s="26" t="s">
        <v>46</v>
      </c>
      <c r="Y73" s="18" t="s">
        <v>96</v>
      </c>
    </row>
    <row r="74" spans="2:25">
      <c r="B74" s="801"/>
      <c r="C74" s="16">
        <v>1</v>
      </c>
      <c r="D74" t="s">
        <v>126</v>
      </c>
      <c r="H74" s="64"/>
      <c r="I74" s="64"/>
      <c r="J74" s="64"/>
      <c r="K74" s="64"/>
      <c r="L74" s="64"/>
      <c r="M74" s="64"/>
      <c r="N74" s="64"/>
      <c r="O74" s="64"/>
      <c r="P74" s="64"/>
      <c r="Q74" s="64"/>
      <c r="R74" s="64"/>
      <c r="W74" s="42">
        <v>0.52</v>
      </c>
      <c r="X74" s="26" t="s">
        <v>46</v>
      </c>
      <c r="Y74" s="18" t="s">
        <v>96</v>
      </c>
    </row>
    <row r="75" spans="2:25">
      <c r="B75" s="801"/>
      <c r="C75" s="16">
        <v>2</v>
      </c>
      <c r="D75" t="s">
        <v>45</v>
      </c>
      <c r="H75" s="64"/>
      <c r="I75" s="64"/>
      <c r="J75" s="64"/>
      <c r="K75" s="64"/>
      <c r="L75" s="64"/>
      <c r="M75" s="64"/>
      <c r="N75" s="64"/>
      <c r="O75" s="64"/>
      <c r="P75" s="64"/>
      <c r="Q75" s="64"/>
      <c r="R75" s="64"/>
      <c r="W75" s="42">
        <v>0.53</v>
      </c>
      <c r="X75" s="26" t="s">
        <v>46</v>
      </c>
      <c r="Y75" s="18" t="s">
        <v>96</v>
      </c>
    </row>
    <row r="76" spans="2:25">
      <c r="B76" s="801"/>
      <c r="H76" s="64"/>
      <c r="I76" s="64"/>
      <c r="J76" s="64"/>
      <c r="K76" s="64"/>
      <c r="L76" s="64"/>
      <c r="M76" s="64"/>
      <c r="N76" s="64"/>
      <c r="O76" s="64"/>
      <c r="P76" s="64"/>
      <c r="Q76" s="64"/>
      <c r="R76" s="64"/>
      <c r="W76" s="42">
        <v>0.54</v>
      </c>
      <c r="X76" s="26" t="s">
        <v>46</v>
      </c>
      <c r="Y76" s="18" t="s">
        <v>96</v>
      </c>
    </row>
    <row r="77" spans="2:25">
      <c r="B77" s="801"/>
      <c r="D77" s="43" t="s">
        <v>128</v>
      </c>
      <c r="W77" s="42">
        <v>0.55000000000000004</v>
      </c>
      <c r="X77" s="26" t="s">
        <v>46</v>
      </c>
      <c r="Y77" s="18" t="s">
        <v>96</v>
      </c>
    </row>
    <row r="78" spans="2:25" ht="18" customHeight="1">
      <c r="B78" s="801"/>
      <c r="C78" s="16">
        <v>1</v>
      </c>
      <c r="D78" t="s">
        <v>129</v>
      </c>
      <c r="W78" s="42">
        <v>0.56000000000000005</v>
      </c>
      <c r="X78" s="26" t="s">
        <v>46</v>
      </c>
      <c r="Y78" s="18" t="s">
        <v>96</v>
      </c>
    </row>
    <row r="79" spans="2:25" ht="14.5" thickBot="1">
      <c r="B79" s="802"/>
      <c r="C79" s="16">
        <v>2</v>
      </c>
      <c r="D79" t="s">
        <v>130</v>
      </c>
      <c r="W79" s="42">
        <v>0.56999999999999995</v>
      </c>
      <c r="X79" s="26" t="s">
        <v>46</v>
      </c>
      <c r="Y79" s="18" t="s">
        <v>96</v>
      </c>
    </row>
    <row r="80" spans="2:25">
      <c r="W80" s="42">
        <v>0.57999999999999996</v>
      </c>
      <c r="X80" s="26" t="s">
        <v>46</v>
      </c>
      <c r="Y80" s="18" t="s">
        <v>96</v>
      </c>
    </row>
    <row r="81" spans="4:25">
      <c r="W81" s="42">
        <v>0.59</v>
      </c>
      <c r="X81" s="26" t="s">
        <v>46</v>
      </c>
      <c r="Y81" s="18" t="s">
        <v>96</v>
      </c>
    </row>
    <row r="82" spans="4:25">
      <c r="W82" s="42">
        <v>0.6</v>
      </c>
      <c r="X82" s="26" t="s">
        <v>46</v>
      </c>
      <c r="Y82" s="18" t="s">
        <v>96</v>
      </c>
    </row>
    <row r="83" spans="4:25">
      <c r="D83" s="43" t="s">
        <v>15</v>
      </c>
      <c r="W83" s="42">
        <v>0.61</v>
      </c>
      <c r="X83" s="47" t="s">
        <v>136</v>
      </c>
      <c r="Y83" s="18" t="s">
        <v>99</v>
      </c>
    </row>
    <row r="84" spans="4:25">
      <c r="D84" t="s">
        <v>134</v>
      </c>
      <c r="W84" s="42">
        <v>0.62</v>
      </c>
      <c r="X84" s="47" t="s">
        <v>136</v>
      </c>
      <c r="Y84" s="18" t="s">
        <v>99</v>
      </c>
    </row>
    <row r="85" spans="4:25">
      <c r="D85" t="s">
        <v>135</v>
      </c>
      <c r="W85" s="42">
        <v>0.63</v>
      </c>
      <c r="X85" s="47" t="s">
        <v>136</v>
      </c>
      <c r="Y85" s="18" t="s">
        <v>99</v>
      </c>
    </row>
    <row r="86" spans="4:25">
      <c r="D86" t="s">
        <v>46</v>
      </c>
      <c r="W86" s="42">
        <v>0.64</v>
      </c>
      <c r="X86" s="47" t="s">
        <v>136</v>
      </c>
      <c r="Y86" s="18" t="s">
        <v>99</v>
      </c>
    </row>
    <row r="87" spans="4:25">
      <c r="D87" t="s">
        <v>136</v>
      </c>
      <c r="W87" s="42">
        <v>0.65</v>
      </c>
      <c r="X87" s="47" t="s">
        <v>136</v>
      </c>
      <c r="Y87" s="18" t="s">
        <v>99</v>
      </c>
    </row>
    <row r="88" spans="4:25">
      <c r="D88" t="s">
        <v>137</v>
      </c>
      <c r="W88" s="42">
        <v>0.66</v>
      </c>
      <c r="X88" s="47" t="s">
        <v>136</v>
      </c>
      <c r="Y88" s="18" t="s">
        <v>99</v>
      </c>
    </row>
    <row r="89" spans="4:25">
      <c r="W89" s="42">
        <v>0.67</v>
      </c>
      <c r="X89" s="47" t="s">
        <v>136</v>
      </c>
      <c r="Y89" s="18" t="s">
        <v>99</v>
      </c>
    </row>
    <row r="90" spans="4:25">
      <c r="D90" s="43" t="s">
        <v>142</v>
      </c>
      <c r="W90" s="42">
        <v>0.68</v>
      </c>
      <c r="X90" s="47" t="s">
        <v>136</v>
      </c>
      <c r="Y90" s="18" t="s">
        <v>99</v>
      </c>
    </row>
    <row r="91" spans="4:25">
      <c r="D91" t="s">
        <v>138</v>
      </c>
      <c r="W91" s="42">
        <v>0.69</v>
      </c>
      <c r="X91" s="47" t="s">
        <v>136</v>
      </c>
      <c r="Y91" s="18" t="s">
        <v>99</v>
      </c>
    </row>
    <row r="92" spans="4:25">
      <c r="D92" t="s">
        <v>47</v>
      </c>
      <c r="W92" s="42">
        <v>0.7</v>
      </c>
      <c r="X92" s="47" t="s">
        <v>136</v>
      </c>
      <c r="Y92" s="18" t="s">
        <v>99</v>
      </c>
    </row>
    <row r="93" spans="4:25">
      <c r="D93" t="s">
        <v>139</v>
      </c>
      <c r="W93" s="42">
        <v>0.71</v>
      </c>
      <c r="X93" s="47" t="s">
        <v>136</v>
      </c>
      <c r="Y93" s="18" t="s">
        <v>99</v>
      </c>
    </row>
    <row r="94" spans="4:25">
      <c r="D94" t="s">
        <v>140</v>
      </c>
      <c r="W94" s="42">
        <v>0.72</v>
      </c>
      <c r="X94" s="47" t="s">
        <v>136</v>
      </c>
      <c r="Y94" s="18" t="s">
        <v>99</v>
      </c>
    </row>
    <row r="95" spans="4:25">
      <c r="D95" t="s">
        <v>141</v>
      </c>
      <c r="W95" s="42">
        <v>0.73</v>
      </c>
      <c r="X95" s="47" t="s">
        <v>136</v>
      </c>
      <c r="Y95" s="18" t="s">
        <v>99</v>
      </c>
    </row>
    <row r="96" spans="4:25">
      <c r="W96" s="42">
        <v>0.74</v>
      </c>
      <c r="X96" s="47" t="s">
        <v>136</v>
      </c>
      <c r="Y96" s="18" t="s">
        <v>99</v>
      </c>
    </row>
    <row r="97" spans="4:25">
      <c r="W97" s="42">
        <v>0.75</v>
      </c>
      <c r="X97" s="47" t="s">
        <v>136</v>
      </c>
      <c r="Y97" s="18" t="s">
        <v>99</v>
      </c>
    </row>
    <row r="98" spans="4:25">
      <c r="D98" s="43" t="s">
        <v>152</v>
      </c>
      <c r="W98" s="42">
        <v>0.76</v>
      </c>
      <c r="X98" s="47" t="s">
        <v>136</v>
      </c>
      <c r="Y98" s="18" t="s">
        <v>99</v>
      </c>
    </row>
    <row r="99" spans="4:25">
      <c r="D99" t="s">
        <v>153</v>
      </c>
      <c r="W99" s="42">
        <v>0.77</v>
      </c>
      <c r="X99" s="47" t="s">
        <v>136</v>
      </c>
      <c r="Y99" s="18" t="s">
        <v>99</v>
      </c>
    </row>
    <row r="100" spans="4:25">
      <c r="D100" t="s">
        <v>154</v>
      </c>
      <c r="K100" s="796" t="s">
        <v>88</v>
      </c>
      <c r="L100" s="798" t="s">
        <v>89</v>
      </c>
      <c r="W100" s="42">
        <v>0.78</v>
      </c>
      <c r="X100" s="47" t="s">
        <v>136</v>
      </c>
      <c r="Y100" s="18" t="s">
        <v>99</v>
      </c>
    </row>
    <row r="101" spans="4:25" ht="14.5" thickBot="1">
      <c r="D101" t="s">
        <v>155</v>
      </c>
      <c r="K101" s="797"/>
      <c r="L101" s="799"/>
      <c r="W101" s="42">
        <v>0.79</v>
      </c>
      <c r="X101" s="47" t="s">
        <v>136</v>
      </c>
      <c r="Y101" s="18" t="s">
        <v>99</v>
      </c>
    </row>
    <row r="102" spans="4:25">
      <c r="D102" t="s">
        <v>48</v>
      </c>
      <c r="K102" s="24" t="s">
        <v>92</v>
      </c>
      <c r="L102" s="25" t="s">
        <v>93</v>
      </c>
      <c r="W102" s="42">
        <v>0.8</v>
      </c>
      <c r="X102" s="47" t="s">
        <v>136</v>
      </c>
      <c r="Y102" s="18" t="s">
        <v>99</v>
      </c>
    </row>
    <row r="103" spans="4:25" ht="17.149999999999999" customHeight="1">
      <c r="D103" t="s">
        <v>156</v>
      </c>
      <c r="K103" s="27" t="s">
        <v>95</v>
      </c>
      <c r="L103" s="28" t="s">
        <v>93</v>
      </c>
      <c r="W103" s="42">
        <v>0.81</v>
      </c>
      <c r="X103" s="26" t="s">
        <v>137</v>
      </c>
      <c r="Y103" s="18" t="s">
        <v>101</v>
      </c>
    </row>
    <row r="104" spans="4:25" ht="16.5" customHeight="1">
      <c r="D104" t="s">
        <v>157</v>
      </c>
      <c r="K104" s="29" t="s">
        <v>97</v>
      </c>
      <c r="L104" s="30" t="s">
        <v>98</v>
      </c>
      <c r="W104" s="42">
        <v>0.82</v>
      </c>
      <c r="X104" s="26" t="s">
        <v>137</v>
      </c>
      <c r="Y104" s="18" t="s">
        <v>101</v>
      </c>
    </row>
    <row r="105" spans="4:25" ht="16.5" customHeight="1">
      <c r="K105" s="31" t="s">
        <v>100</v>
      </c>
      <c r="L105" s="32" t="s">
        <v>98</v>
      </c>
      <c r="W105" s="42">
        <v>0.83</v>
      </c>
      <c r="X105" s="26" t="s">
        <v>137</v>
      </c>
      <c r="Y105" s="18" t="s">
        <v>101</v>
      </c>
    </row>
    <row r="106" spans="4:25" ht="14.15" customHeight="1" thickBot="1">
      <c r="D106" s="43" t="s">
        <v>158</v>
      </c>
      <c r="K106" s="34" t="s">
        <v>102</v>
      </c>
      <c r="L106" s="35" t="s">
        <v>103</v>
      </c>
      <c r="W106" s="42">
        <v>0.84</v>
      </c>
      <c r="X106" s="26" t="s">
        <v>137</v>
      </c>
      <c r="Y106" s="18" t="s">
        <v>101</v>
      </c>
    </row>
    <row r="107" spans="4:25" ht="23.15" customHeight="1">
      <c r="W107" s="42">
        <v>0.85</v>
      </c>
      <c r="X107" s="26" t="s">
        <v>137</v>
      </c>
      <c r="Y107" s="18" t="s">
        <v>101</v>
      </c>
    </row>
    <row r="108" spans="4:25" ht="18.649999999999999" customHeight="1">
      <c r="D108" t="s">
        <v>159</v>
      </c>
      <c r="W108" s="42">
        <v>0.86</v>
      </c>
      <c r="X108" s="26" t="s">
        <v>137</v>
      </c>
      <c r="Y108" s="18" t="s">
        <v>101</v>
      </c>
    </row>
    <row r="109" spans="4:25" ht="17.149999999999999" customHeight="1">
      <c r="D109" t="s">
        <v>160</v>
      </c>
      <c r="W109" s="42">
        <v>0.87</v>
      </c>
      <c r="X109" s="26" t="s">
        <v>137</v>
      </c>
      <c r="Y109" s="18" t="s">
        <v>101</v>
      </c>
    </row>
    <row r="110" spans="4:25" ht="18.649999999999999" customHeight="1">
      <c r="D110" t="s">
        <v>181</v>
      </c>
      <c r="J110" s="53" t="s">
        <v>161</v>
      </c>
      <c r="K110" s="53" t="s">
        <v>146</v>
      </c>
      <c r="L110" s="53" t="s">
        <v>164</v>
      </c>
      <c r="N110"/>
      <c r="O110"/>
      <c r="P110"/>
      <c r="Q110"/>
      <c r="R110"/>
      <c r="S110"/>
      <c r="W110" s="42">
        <v>0.88</v>
      </c>
      <c r="X110" s="26" t="s">
        <v>137</v>
      </c>
      <c r="Y110" s="18" t="s">
        <v>101</v>
      </c>
    </row>
    <row r="111" spans="4:25">
      <c r="J111" s="26">
        <v>1</v>
      </c>
      <c r="K111" s="62">
        <f>+'Direccionamiento Estratégico'!AL12</f>
        <v>0.48</v>
      </c>
      <c r="L111" s="26">
        <f>+'Direccionamiento Estratégico'!AN12</f>
        <v>0.6</v>
      </c>
      <c r="N111"/>
      <c r="O111"/>
      <c r="P111"/>
      <c r="Q111"/>
      <c r="R111"/>
      <c r="S111"/>
      <c r="W111" s="42">
        <v>0.89</v>
      </c>
      <c r="X111" s="26" t="s">
        <v>137</v>
      </c>
      <c r="Y111" s="18" t="s">
        <v>101</v>
      </c>
    </row>
    <row r="112" spans="4:25">
      <c r="J112" s="26">
        <v>2</v>
      </c>
      <c r="K112" s="62">
        <f>+IF('Direccionamiento Estratégico'!Y13="Correctivo",Campos!K111*1,(Campos!K111-(Campos!K111*'Direccionamiento Estratégico'!AC13)))</f>
        <v>0.28799999999999998</v>
      </c>
      <c r="L112" s="26">
        <f>+IF('Direccionamiento Estratégico'!Y13="Correctivo",(Campos!L111-(Campos!L111*'Direccionamiento Estratégico'!AD13)),Campos!L111*1)</f>
        <v>0.6</v>
      </c>
      <c r="N112"/>
      <c r="O112"/>
      <c r="P112"/>
      <c r="Q112"/>
      <c r="R112"/>
      <c r="S112"/>
      <c r="W112" s="42">
        <v>0.9</v>
      </c>
      <c r="X112" s="26" t="s">
        <v>137</v>
      </c>
      <c r="Y112" s="18" t="s">
        <v>101</v>
      </c>
    </row>
    <row r="113" spans="10:25">
      <c r="J113" s="26">
        <v>3</v>
      </c>
      <c r="K113" s="62">
        <f>+IF('Direccionamiento Estratégico'!Y14="Correctivo",Campos!K112*1,(Campos!K112-(Campos!K112*'Direccionamiento Estratégico'!AC14)))</f>
        <v>0.17279999999999998</v>
      </c>
      <c r="L113" s="26">
        <f>+IF('Direccionamiento Estratégico'!Y14="Correctivo",(Campos!L112-(Campos!L112*'Direccionamiento Estratégico'!AD14)),Campos!L112*1)</f>
        <v>0.6</v>
      </c>
      <c r="N113"/>
      <c r="O113"/>
      <c r="P113"/>
      <c r="Q113"/>
      <c r="R113"/>
      <c r="S113"/>
      <c r="W113" s="42">
        <v>0.91</v>
      </c>
      <c r="X113" s="26" t="s">
        <v>137</v>
      </c>
      <c r="Y113" s="18" t="s">
        <v>101</v>
      </c>
    </row>
    <row r="114" spans="10:25">
      <c r="J114" s="26">
        <v>4</v>
      </c>
      <c r="K114" s="62"/>
      <c r="L114" s="26"/>
      <c r="N114"/>
      <c r="O114"/>
      <c r="P114"/>
      <c r="Q114"/>
      <c r="R114"/>
      <c r="S114"/>
      <c r="W114" s="42">
        <v>0.92</v>
      </c>
      <c r="X114" s="26" t="s">
        <v>137</v>
      </c>
      <c r="Y114" s="18" t="s">
        <v>101</v>
      </c>
    </row>
    <row r="115" spans="10:25">
      <c r="J115" s="26">
        <v>5</v>
      </c>
      <c r="K115" s="62"/>
      <c r="L115" s="26"/>
      <c r="N115"/>
      <c r="O115"/>
      <c r="P115"/>
      <c r="Q115"/>
      <c r="R115"/>
      <c r="S115"/>
      <c r="W115" s="42">
        <v>0.93</v>
      </c>
      <c r="X115" s="26" t="s">
        <v>137</v>
      </c>
      <c r="Y115" s="18" t="s">
        <v>101</v>
      </c>
    </row>
    <row r="116" spans="10:25">
      <c r="J116" s="26">
        <v>6</v>
      </c>
      <c r="K116" s="62"/>
      <c r="L116" s="26"/>
      <c r="N116"/>
      <c r="O116"/>
      <c r="P116"/>
      <c r="Q116"/>
      <c r="R116"/>
      <c r="S116"/>
      <c r="W116" s="42">
        <v>0.94</v>
      </c>
      <c r="X116" s="26" t="s">
        <v>137</v>
      </c>
      <c r="Y116" s="18" t="s">
        <v>101</v>
      </c>
    </row>
    <row r="117" spans="10:25">
      <c r="J117" s="26">
        <v>7</v>
      </c>
      <c r="K117" s="62"/>
      <c r="L117" s="26"/>
      <c r="N117"/>
      <c r="O117"/>
      <c r="P117"/>
      <c r="Q117"/>
      <c r="R117"/>
      <c r="S117"/>
      <c r="W117" s="42">
        <v>0.95</v>
      </c>
      <c r="X117" s="26" t="s">
        <v>137</v>
      </c>
      <c r="Y117" s="18" t="s">
        <v>101</v>
      </c>
    </row>
    <row r="118" spans="10:25">
      <c r="J118" s="26">
        <v>8</v>
      </c>
      <c r="K118" s="62"/>
      <c r="L118" s="26"/>
      <c r="N118"/>
      <c r="O118"/>
      <c r="P118"/>
      <c r="Q118"/>
      <c r="R118"/>
      <c r="S118"/>
      <c r="W118" s="42">
        <v>0.96</v>
      </c>
      <c r="X118" s="26" t="s">
        <v>137</v>
      </c>
      <c r="Y118" s="18" t="s">
        <v>101</v>
      </c>
    </row>
    <row r="119" spans="10:25">
      <c r="J119" s="26">
        <v>9</v>
      </c>
      <c r="K119" s="62"/>
      <c r="L119" s="26"/>
      <c r="N119"/>
      <c r="O119"/>
      <c r="P119"/>
      <c r="Q119"/>
      <c r="R119"/>
      <c r="S119"/>
      <c r="W119" s="42">
        <v>0.97</v>
      </c>
      <c r="X119" s="26" t="s">
        <v>137</v>
      </c>
      <c r="Y119" s="18" t="s">
        <v>101</v>
      </c>
    </row>
    <row r="120" spans="10:25">
      <c r="J120" s="26">
        <v>10</v>
      </c>
      <c r="K120" s="62"/>
      <c r="L120" s="26"/>
      <c r="N120"/>
      <c r="O120"/>
      <c r="P120"/>
      <c r="Q120"/>
      <c r="R120"/>
      <c r="S120"/>
      <c r="W120" s="42">
        <v>0.98</v>
      </c>
      <c r="X120" s="26" t="s">
        <v>137</v>
      </c>
      <c r="Y120" s="18" t="s">
        <v>101</v>
      </c>
    </row>
    <row r="121" spans="10:25">
      <c r="S121"/>
      <c r="W121" s="42">
        <v>0.99</v>
      </c>
      <c r="X121" s="26" t="s">
        <v>137</v>
      </c>
      <c r="Y121" s="18" t="s">
        <v>101</v>
      </c>
    </row>
    <row r="122" spans="10:25">
      <c r="W122" s="42">
        <v>1</v>
      </c>
      <c r="X122" s="26" t="s">
        <v>137</v>
      </c>
      <c r="Y122" s="18" t="s">
        <v>101</v>
      </c>
    </row>
  </sheetData>
  <mergeCells count="23">
    <mergeCell ref="B34:B79"/>
    <mergeCell ref="B11:B31"/>
    <mergeCell ref="B2:D7"/>
    <mergeCell ref="M11:M12"/>
    <mergeCell ref="N11:N12"/>
    <mergeCell ref="H11:H12"/>
    <mergeCell ref="I11:I12"/>
    <mergeCell ref="J11:J12"/>
    <mergeCell ref="K11:K12"/>
    <mergeCell ref="L11:L12"/>
    <mergeCell ref="H7:Q8"/>
    <mergeCell ref="S11:S12"/>
    <mergeCell ref="T11:T12"/>
    <mergeCell ref="U11:U12"/>
    <mergeCell ref="Q11:Q12"/>
    <mergeCell ref="S23:S24"/>
    <mergeCell ref="T23:T24"/>
    <mergeCell ref="X22:X23"/>
    <mergeCell ref="S32:S33"/>
    <mergeCell ref="T32:T33"/>
    <mergeCell ref="I43:N43"/>
    <mergeCell ref="K100:K101"/>
    <mergeCell ref="L100:L101"/>
  </mergeCells>
  <phoneticPr fontId="34" type="noConversion"/>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8</vt:i4>
      </vt:variant>
    </vt:vector>
  </HeadingPairs>
  <TitlesOfParts>
    <vt:vector size="15" baseType="lpstr">
      <vt:lpstr>Resumen</vt:lpstr>
      <vt:lpstr>Direccionamiento Estratégico</vt:lpstr>
      <vt:lpstr>Gestión de Apoyo</vt:lpstr>
      <vt:lpstr>Gestión Humana</vt:lpstr>
      <vt:lpstr>Operaciones Aéreas</vt:lpstr>
      <vt:lpstr>Inspección, Control y Gestión S</vt:lpstr>
      <vt:lpstr>Campos</vt:lpstr>
      <vt:lpstr>'Direccionamiento Estratégico'!Área_de_impresión</vt:lpstr>
      <vt:lpstr>'Gestión Humana'!Área_de_impresión</vt:lpstr>
      <vt:lpstr>'Operaciones Aéreas'!Área_de_impresión</vt:lpstr>
      <vt:lpstr>'Direccionamiento Estratégico'!Selección1</vt:lpstr>
      <vt:lpstr>'Gestión de Apoyo'!Selección1</vt:lpstr>
      <vt:lpstr>'Gestión Humana'!Selección1</vt:lpstr>
      <vt:lpstr>'Inspección, Control y Gestión S'!Selección1</vt:lpstr>
      <vt:lpstr>'Operaciones Aéreas'!Selección1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Oscar Eduardo Bustos Dorado</dc:creator>
  <cp:lastModifiedBy>OSCAR EDUARDO BUSTOS DORADO</cp:lastModifiedBy>
  <dcterms:created xsi:type="dcterms:W3CDTF">2023-11-21T14:38:48Z</dcterms:created>
  <dcterms:modified xsi:type="dcterms:W3CDTF">2024-02-21T22:14:42Z</dcterms:modified>
</cp:coreProperties>
</file>